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30" tabRatio="803" activeTab="1"/>
  </bookViews>
  <sheets>
    <sheet name="1-ԱՄՓՈՓ" sheetId="1" r:id="rId1"/>
    <sheet name="2-ԸՆԴԱՄԵՆԸ ԾԱԽՍԵՐ" sheetId="2" r:id="rId2"/>
    <sheet name="3-Ծախսերի բացվածք" sheetId="3" r:id="rId3"/>
    <sheet name="4-ԿԱՊ" sheetId="4" r:id="rId4"/>
    <sheet name="5-դատդեպ-փոստային" sheetId="5" state="hidden" r:id="rId5"/>
    <sheet name="6-դատդեպ-կապ" sheetId="6" state="hidden" r:id="rId6"/>
    <sheet name="7-էլ-էներգիա" sheetId="7" r:id="rId7"/>
    <sheet name="8-էլ-էներգիա-ջեռուցում" sheetId="8" r:id="rId8"/>
    <sheet name="9-գազով ջեռուցում" sheetId="9" r:id="rId9"/>
    <sheet name="10-գործուղում" sheetId="10" r:id="rId10"/>
    <sheet name="11-ավտոմեքենա" sheetId="11" r:id="rId11"/>
    <sheet name="12-վարչական սարքավորումներ" sheetId="12" r:id="rId12"/>
    <sheet name="13համազգեստ" sheetId="13" state="hidden" r:id="rId13"/>
    <sheet name="14տարածքներ" sheetId="14" r:id="rId14"/>
    <sheet name="15ընթացիկ նորոգում" sheetId="15" r:id="rId15"/>
    <sheet name="16վերապատրաստում" sheetId="16" r:id="rId16"/>
    <sheet name="17կառուցվածք" sheetId="17" r:id="rId17"/>
    <sheet name="19հարկ-մաքս" sheetId="18" state="hidden" r:id="rId18"/>
    <sheet name="20ԱԳՆ" sheetId="19" state="hidden" r:id="rId19"/>
    <sheet name="21հարկադիր" sheetId="20" state="hidden" r:id="rId20"/>
    <sheet name="22դատավորներ" sheetId="21" state="hidden" r:id="rId21"/>
    <sheet name="23դատ.ծառ." sheetId="22" state="hidden" r:id="rId22"/>
    <sheet name="24դատ.կարգադրիչ" sheetId="23" state="hidden" r:id="rId23"/>
    <sheet name="25դատախազ" sheetId="24" state="hidden" r:id="rId24"/>
    <sheet name="26դատախազ-պետծառ" sheetId="25" state="hidden" r:id="rId25"/>
    <sheet name="27Հակակոռուպ.կոմ" sheetId="26" state="hidden" r:id="rId26"/>
    <sheet name="28ՀԿ-աշխատակազմ" sheetId="27" state="hidden" r:id="rId27"/>
    <sheet name="29Քննչական" sheetId="28" state="hidden" r:id="rId28"/>
    <sheet name="30ՔԿ-դեպարտամենտ" sheetId="29" state="hidden" r:id="rId29"/>
    <sheet name="31աշխատավարձի ֆոնդ" sheetId="30" r:id="rId30"/>
  </sheets>
  <definedNames>
    <definedName name="_xlnm.Print_Titles" localSheetId="1">'2-ԸՆԴԱՄԵՆԸ ԾԱԽՍԵՐ'!$6:$8</definedName>
  </definedNames>
  <calcPr fullCalcOnLoad="1"/>
</workbook>
</file>

<file path=xl/comments7.xml><?xml version="1.0" encoding="utf-8"?>
<comments xmlns="http://schemas.openxmlformats.org/spreadsheetml/2006/main">
  <authors>
    <author>Author</author>
  </authors>
  <commentList>
    <comment ref="F10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1771 probacia
</t>
        </r>
      </text>
    </comment>
  </commentList>
</comments>
</file>

<file path=xl/sharedStrings.xml><?xml version="1.0" encoding="utf-8"?>
<sst xmlns="http://schemas.openxmlformats.org/spreadsheetml/2006/main" count="3959" uniqueCount="1162">
  <si>
    <t>.</t>
  </si>
  <si>
    <t>x</t>
  </si>
  <si>
    <t>I</t>
  </si>
  <si>
    <t>II</t>
  </si>
  <si>
    <t>III</t>
  </si>
  <si>
    <t>NN</t>
  </si>
  <si>
    <t>*</t>
  </si>
  <si>
    <t>N</t>
  </si>
  <si>
    <t>B</t>
  </si>
  <si>
    <t>C</t>
  </si>
  <si>
    <t>D</t>
  </si>
  <si>
    <t>E</t>
  </si>
  <si>
    <t>F</t>
  </si>
  <si>
    <t>G</t>
  </si>
  <si>
    <t>H</t>
  </si>
  <si>
    <t>J</t>
  </si>
  <si>
    <t>K</t>
  </si>
  <si>
    <t>L</t>
  </si>
  <si>
    <t>O</t>
  </si>
  <si>
    <t>Q</t>
  </si>
  <si>
    <t>R</t>
  </si>
  <si>
    <t>S</t>
  </si>
  <si>
    <t>T</t>
  </si>
  <si>
    <t>U</t>
  </si>
  <si>
    <t>V</t>
  </si>
  <si>
    <t>W</t>
  </si>
  <si>
    <t xml:space="preserve">Ձև N  1 </t>
  </si>
  <si>
    <t>Կառավարման  ապարատ</t>
  </si>
  <si>
    <t xml:space="preserve">Հայտատուի  անվանումը </t>
  </si>
  <si>
    <t>հաստատված բյուջե</t>
  </si>
  <si>
    <t>բյուջետային  հայտ</t>
  </si>
  <si>
    <t>Ծառայողական  ավտոմեքենաների  քանակը</t>
  </si>
  <si>
    <t>ԸՆԴԱՄԵՆԸ  ԾԱԽՍԵՐ</t>
  </si>
  <si>
    <t xml:space="preserve">Ձև N  2 </t>
  </si>
  <si>
    <t>կոդը</t>
  </si>
  <si>
    <t>ԸՆԹԱՑԻԿ  ԾԱԽՍԵՐ</t>
  </si>
  <si>
    <t xml:space="preserve"> -Աշխատողների աշխատավարձեր և հավելավճարներ</t>
  </si>
  <si>
    <t xml:space="preserve"> - Պարգևատրումներ, դրամական խրախուսումներ և հատուկ վճարներ</t>
  </si>
  <si>
    <t xml:space="preserve"> -Քաղաքացիական, դատական և պետական ծառայողների պարգևատրում </t>
  </si>
  <si>
    <t>Էներգետիկ ծառայություններ</t>
  </si>
  <si>
    <t>Կոմունալ ծառայություններ</t>
  </si>
  <si>
    <t>Ջրամատակարարման և ջրահեռացման ծառայություններ</t>
  </si>
  <si>
    <t>Կապի ծառայություններ</t>
  </si>
  <si>
    <t>Ապահովագրական ծախսեր</t>
  </si>
  <si>
    <t>Գույքի և սարքավորումների վարձակալություն</t>
  </si>
  <si>
    <t>Արտագերատեսչական ծախսեր</t>
  </si>
  <si>
    <t>Ներքին  գործուղումներ</t>
  </si>
  <si>
    <t>Արտասահմանյան գործուղումների գծով ծախսեր</t>
  </si>
  <si>
    <t>Վարչական ծառայություններ</t>
  </si>
  <si>
    <t>Համակարգչային ծառայություններ</t>
  </si>
  <si>
    <t>Տեղեկատվական ծառայություններ</t>
  </si>
  <si>
    <t>Կառավարչական ծառայություններ</t>
  </si>
  <si>
    <t>Կենցաղային և հանրային սննդի ծառայություններ</t>
  </si>
  <si>
    <t>Ներկայացուցչական  ծախսեր</t>
  </si>
  <si>
    <t>Ընդհանուր բնույթի այլ ծառայություններ</t>
  </si>
  <si>
    <t>Մասնագիտական ծառայություններ</t>
  </si>
  <si>
    <t>Շենքերի և կառույցների ընթացիկ նորոգում և պահպանում</t>
  </si>
  <si>
    <t>Մեքենաների և սարքավորումների ընթացիկ նորոգում և պահպանում</t>
  </si>
  <si>
    <t>Գրասենյակային նյութեր և հագուստ</t>
  </si>
  <si>
    <t>Գրասենյակային պիտույքներ</t>
  </si>
  <si>
    <t>Հագուստ և համազգեստ</t>
  </si>
  <si>
    <t>Հատուկ նպատակային այլ նյութեր</t>
  </si>
  <si>
    <t>Սուբսիդիաներ ոչ ֆինանսական պետական կազմակերպություններին</t>
  </si>
  <si>
    <t>Ընթացիկ դրամաշնորհներ միջազգային կազմակերպություններին</t>
  </si>
  <si>
    <t>Այլ նպաստներ բյուջեից</t>
  </si>
  <si>
    <t>Այլ հարկեր</t>
  </si>
  <si>
    <t>Պարտադիր վճարներ</t>
  </si>
  <si>
    <t>Այլ  ծախսեր</t>
  </si>
  <si>
    <t>Պահուստային միջոցներ</t>
  </si>
  <si>
    <t>այդ  թվում`</t>
  </si>
  <si>
    <t xml:space="preserve"> ՈՉ ՖԻՆԱՆՍԱԿԱՆ ԱԿՏԻՎՆԵՐԻ ԳԾՈՎ ԾԱԽՍԵՐ</t>
  </si>
  <si>
    <t xml:space="preserve">Տրանսպորտային սարքավորումներ </t>
  </si>
  <si>
    <t>Վարչական  սարքավորումներ</t>
  </si>
  <si>
    <t>Այլ մեքենաներ և սարքավորումներ</t>
  </si>
  <si>
    <t xml:space="preserve">Ոչ նյութական հիմնական միջոցներ </t>
  </si>
  <si>
    <t>Հ Ա Շ Վ Ա Ր Կ</t>
  </si>
  <si>
    <t>Բաժանորդային վարձ</t>
  </si>
  <si>
    <t xml:space="preserve"> Հեռախոսային խոսակցություններ</t>
  </si>
  <si>
    <t xml:space="preserve">Փոքր ունակությամբ (PABX) հեռախոսակայան ներ չշահագործող մարմին ների սովորական հեռախո սի բաժանորդային վարձ (տարեկան) </t>
  </si>
  <si>
    <t xml:space="preserve">Փոքր ունակությամբ (PABX) հեռախոսակայան ներ շահագործող մարմին ների սովորական հեռախո սի բաժանորդային վարձ (տարեկան) </t>
  </si>
  <si>
    <t>Ընդամենը սովորական հեռախոսի բաժանորդային վարձ (տարեկան)</t>
  </si>
  <si>
    <t>քանակը</t>
  </si>
  <si>
    <t>(դրամ)</t>
  </si>
  <si>
    <t xml:space="preserve">տեղական ելից հեռախոսային խոսակցություններ </t>
  </si>
  <si>
    <t xml:space="preserve"> (րոպե)</t>
  </si>
  <si>
    <t>դրամ</t>
  </si>
  <si>
    <t xml:space="preserve">Ընդամենը հեռախոսային խոսակցություն ների համար սահմանվող ամսական վճար </t>
  </si>
  <si>
    <t xml:space="preserve">Հեռախոսային խոսակցություն ների տարեկան սահմանաչափ </t>
  </si>
  <si>
    <t>Փոստային կապի ծառայություններ</t>
  </si>
  <si>
    <t>Ընդամենը կապի ծառայությունների վճարներ (տարեկան)</t>
  </si>
  <si>
    <t>Հաստիքը  կամ  ստորաբաժանումը</t>
  </si>
  <si>
    <t>Պետական մարմին - ընդամենը աշխատողների թիվը</t>
  </si>
  <si>
    <t>Ղեկավար</t>
  </si>
  <si>
    <t>Ղեկավարի տեղակալ /անդամներ/</t>
  </si>
  <si>
    <t>Ղեկավարի խորհրդական</t>
  </si>
  <si>
    <t>Ղեկավարի օգնական</t>
  </si>
  <si>
    <t>Ղեկավարի մամուլի քարտուղար</t>
  </si>
  <si>
    <t>Աշխատակազմի ղեկավար</t>
  </si>
  <si>
    <t>Աշխատակազմի ղեկավարի տեղակալ</t>
  </si>
  <si>
    <t>Աշխատակազմի առանձնացված ստորաբաժանման ղեկավար</t>
  </si>
  <si>
    <t>Աշխատակազմի առանձնացված ստորաբաժանման տարածքային մարմնի ղեկավար</t>
  </si>
  <si>
    <t>Աշխատակազմի առանձնացված ստորաբաժանում</t>
  </si>
  <si>
    <t>Աշխատակազմի առանձնացված ստորաբաժանման տարածքային մարմին</t>
  </si>
  <si>
    <t>Աշխատակազմի կառուցվածքային ստորաբաժանման ղեկավար</t>
  </si>
  <si>
    <t>Աշխատակազմի արտաքին կապերի վարչություն</t>
  </si>
  <si>
    <t>Աշխատակազմի վարչություն /քարտուղարություն/</t>
  </si>
  <si>
    <t>Աշխատակազմի ինքնուրույն բաժին</t>
  </si>
  <si>
    <t>Աշխատակազմի քարտուղարություն</t>
  </si>
  <si>
    <t>Տեխնիկական սպասարկում իրականացնող անձնակազմ</t>
  </si>
  <si>
    <t>Յուրաքանչյուր 4 կամ 5 միավորի համար մեկական հեռախոսագիծ (բացառությամբ տեխնիկական սպասարկողների)</t>
  </si>
  <si>
    <t>Ընդամենը</t>
  </si>
  <si>
    <t>հ/հ</t>
  </si>
  <si>
    <t>Ձև N 6</t>
  </si>
  <si>
    <t>տարբերություն</t>
  </si>
  <si>
    <t>Դատական իշխանության մարմնի անվանումը</t>
  </si>
  <si>
    <t>Հ/Հ</t>
  </si>
  <si>
    <t>գործերի
քանակը</t>
  </si>
  <si>
    <t>մեկ գործի համար ուղարկվող 
փաստաթղթերի 
քանակը</t>
  </si>
  <si>
    <t>ուղարկվող մեկ փաստաթղթի 
միջին արժեքը</t>
  </si>
  <si>
    <t>մեկ գործի արժեքը</t>
  </si>
  <si>
    <t>Ընդամենը տարեկան 
 ծախսեր</t>
  </si>
  <si>
    <t>գործերի
քանակը (ս3-ս8)</t>
  </si>
  <si>
    <t>Ընդամենը տարեկան 
 ծախսեր (ս7-ս9)</t>
  </si>
  <si>
    <t>Այդ թվում`</t>
  </si>
  <si>
    <t>Ձև N 7</t>
  </si>
  <si>
    <t xml:space="preserve">Սահմանված րոպե </t>
  </si>
  <si>
    <t>Հաստիքի անվանումը</t>
  </si>
  <si>
    <t xml:space="preserve">Հաստ.միավ.թիվը </t>
  </si>
  <si>
    <t>հեռ. քան</t>
  </si>
  <si>
    <t>ամս. բաժ.  վճար</t>
  </si>
  <si>
    <t>հասանելիք րոպե</t>
  </si>
  <si>
    <t>միջքաղ.և բջջ.ցանց, միավ.</t>
  </si>
  <si>
    <t>միջազգային,միավոր</t>
  </si>
  <si>
    <t>միջքաղ., միջազգայ. հեռ.համար</t>
  </si>
  <si>
    <t>Փոստային</t>
  </si>
  <si>
    <t>Ինտերնետ</t>
  </si>
  <si>
    <t>Իրտեկ</t>
  </si>
  <si>
    <t>Ձև N 8</t>
  </si>
  <si>
    <t>Համակար     գիչների քանակը  (հատ)</t>
  </si>
  <si>
    <t xml:space="preserve">Հզորությունը </t>
  </si>
  <si>
    <t>Շահագործ  ման ժամերի տարեկան քանակը</t>
  </si>
  <si>
    <t>Շենքերի և շինություն ների մակերեսը (քառ/մետր)</t>
  </si>
  <si>
    <t>Տարեկան ծախսի նորմը (կվտ.ժ)</t>
  </si>
  <si>
    <t>Ընդամենը  տարեկան ծախսի նորմը (կվտ.ժ)</t>
  </si>
  <si>
    <t>Ընդամենը էլեկտրաէներ  գիայի ծախս               (հազ. դրամ)</t>
  </si>
  <si>
    <t xml:space="preserve"> Այլ հատուկ սարքեր /վերելակներ, ներքին հեռախոսակայաններ, արտաքին լուսավորություն և այլն/</t>
  </si>
  <si>
    <t>Լուսավորության և կենցաղային սարքերի ծախսի, առանց օդի լավորակման դեպքում` շենքերի և շինությունների 1 քառ/մետր մակերեսի համար</t>
  </si>
  <si>
    <t>Համակարգիչների` 1 հատի համար, որը ներառում է տպիչ սարքերի և այլ կազմտեխնիկայի ծախսը, 8-ժամյա աշխատանքային օրվա համար</t>
  </si>
  <si>
    <t>այդ թվում`</t>
  </si>
  <si>
    <t>Ձև N 9</t>
  </si>
  <si>
    <t>Բնակավայրը</t>
  </si>
  <si>
    <t>Շենքի տեսակը  (քար / պանելային,   միաձույլ)</t>
  </si>
  <si>
    <t xml:space="preserve">Շենքի ծավալը (խոր/մետր) հաշվարկված արտաքին չափերով </t>
  </si>
  <si>
    <t>այդ թվում` զբաղեցրած տարածքի ծավալը (խոր. մետր)</t>
  </si>
  <si>
    <t xml:space="preserve">քար </t>
  </si>
  <si>
    <t>Ընդամենը ջեռուցման համար էլեկտրաէներգիայի ծախս               (հազ. դրամ)</t>
  </si>
  <si>
    <t>Ձև N 10</t>
  </si>
  <si>
    <t>Շենքի տեսակը  (քար / պանելային,  միաձույլ)</t>
  </si>
  <si>
    <t xml:space="preserve">Շենքի ընդհանուր ծավալը (խոր/մետր) հաշվարկված արտաքին չափերով </t>
  </si>
  <si>
    <t>Ջերմային էներգիայի տարեկան ծախսի նորմը                   (Գկալ/ խոր.մետր)</t>
  </si>
  <si>
    <t>Ընդամենը  տարեկան ծախսի նորմը (Գկալ/ խոր.մետր)</t>
  </si>
  <si>
    <t xml:space="preserve"> Բնական գազով աշխատող կաթսաներ (խոր/մետր)</t>
  </si>
  <si>
    <t>Բնական գազով աշխատող անհատական ջեռուցիչ սարքեր, վառարաններ</t>
  </si>
  <si>
    <t>Հեղուկ վառելիք անհատական ջեռուցիչ սարքերի, վառարանների համար (կգ)</t>
  </si>
  <si>
    <t>Ընդամենը  տարեկան ծախս          (Գկալ/ խոր.մետր)</t>
  </si>
  <si>
    <t>Սակագինը (հազ. դրամ)</t>
  </si>
  <si>
    <t>Ընդամենը ջեռուցման  ծախս                        (հազ. դրամ)</t>
  </si>
  <si>
    <t>պանելային,  միաձույլ</t>
  </si>
  <si>
    <t>ՀՀ կառավարության 2005 թվականի ապրիլի 28-ի N 629-Ն որոշման պահանջներին համապատասխան:</t>
  </si>
  <si>
    <t>N 1,2 և 3 ձևերը լրացվում են`</t>
  </si>
  <si>
    <t>Ձև N 11</t>
  </si>
  <si>
    <t>Տ Ե Ղ Ե Կ Ա Ն Ք</t>
  </si>
  <si>
    <t xml:space="preserve">գործուղման ծախսերի հաշվարկման վերաբերյալ </t>
  </si>
  <si>
    <t xml:space="preserve">հազ. դրամ </t>
  </si>
  <si>
    <t>Գործուղման վայրեր</t>
  </si>
  <si>
    <t>Գործուղման տևողությունը</t>
  </si>
  <si>
    <t>Գործուղման մեկնողների թիվը</t>
  </si>
  <si>
    <t>Օրապահիկ</t>
  </si>
  <si>
    <t>Վճարը 1 օրվա համար</t>
  </si>
  <si>
    <t>Ճանապարհածախսը  1 անձի համար մեկ ուղղությամբ</t>
  </si>
  <si>
    <t>Ընդամենը ծախսեր</t>
  </si>
  <si>
    <t>Գիշերավարձ</t>
  </si>
  <si>
    <t>Ճանապարհածախս              1 անձի համար մեկ ուղղությամբ</t>
  </si>
  <si>
    <t xml:space="preserve">Ծախսերի տարբերու թյունը             </t>
  </si>
  <si>
    <t>Ձև N 12</t>
  </si>
  <si>
    <t>Ավտոմեքենայի  մակնիշը</t>
  </si>
  <si>
    <t>Թողարկման տարեթիվը</t>
  </si>
  <si>
    <t>Ձեռքբերման արժեքը   /հազ.դրամ/</t>
  </si>
  <si>
    <t>Հաշվեկշռային (մնացոր դային)  արժեքը /հազ.դրամ/</t>
  </si>
  <si>
    <t>Քանակը</t>
  </si>
  <si>
    <t>Մեկ միավորի գինը     /հազ.  դրամ/</t>
  </si>
  <si>
    <t>Ընդամենը ծախսեր /հազ.  դրամ/</t>
  </si>
  <si>
    <t>Առկա մեքենաների թիվը` ընդամենը -____</t>
  </si>
  <si>
    <t xml:space="preserve">Այդ թվում` </t>
  </si>
  <si>
    <t>Ձև N 13</t>
  </si>
  <si>
    <t>Չափի միավորը</t>
  </si>
  <si>
    <t>Ձեռքբեր ման  տարեթիվը</t>
  </si>
  <si>
    <t>Սկզբնական արժեքը   /հազ.դրամ/</t>
  </si>
  <si>
    <t xml:space="preserve">ՙ'Հայաստանի Հանրապետության պետական մարմինների գծով Հայաստանի Հանրապետության պետական բյուջեի նախագծում բյուջետային ծախսերի առանձին տեսակների` ջեռուցման, վառելիքի և էլեկտրաէներգիայի ձեռք բերման ծավալների հաշվարկման հիմքում դրվող նորմաները հաստատելու մասին՚ </t>
  </si>
  <si>
    <t>Ձև N 15</t>
  </si>
  <si>
    <t>Համազգեստի տարրերը</t>
  </si>
  <si>
    <t>Տվյալ համա զգեստը կրողների թիվը</t>
  </si>
  <si>
    <t>Կրման ժամկետը (տարի)</t>
  </si>
  <si>
    <t>Քանակը մեկ մարդու համար</t>
  </si>
  <si>
    <t xml:space="preserve">Մեկ   միավորի  գինը </t>
  </si>
  <si>
    <t>տարեթիվը</t>
  </si>
  <si>
    <t>Ընդամենը գումարը</t>
  </si>
  <si>
    <t>Ձեռքբերման</t>
  </si>
  <si>
    <t xml:space="preserve">Կարող է կրել մինչև </t>
  </si>
  <si>
    <t xml:space="preserve">Տարբերությունը            </t>
  </si>
  <si>
    <t xml:space="preserve">
Ընդամենը</t>
  </si>
  <si>
    <t>Կառուցվածքային ստորաբաժանումների անվանումը</t>
  </si>
  <si>
    <t>Հաստիքային միավորների թիվը</t>
  </si>
  <si>
    <t xml:space="preserve">Վարչություններ </t>
  </si>
  <si>
    <t>Բաժիններ</t>
  </si>
  <si>
    <t>Ձև N 17</t>
  </si>
  <si>
    <t>/դրամ/</t>
  </si>
  <si>
    <t>Տարբերությունը</t>
  </si>
  <si>
    <t>Հաստիքային ցուցակի համեմատական</t>
  </si>
  <si>
    <t>Անուն, Ազգանուն</t>
  </si>
  <si>
    <t>Պաշտոնի անվանումը</t>
  </si>
  <si>
    <t>Պաշտոնի    կոդը</t>
  </si>
  <si>
    <t>Տվյալ պաշտոնում աշխատան քային ստաժը</t>
  </si>
  <si>
    <t>Բարձր լեռնային վայրերում աշխատելու համար հավելում</t>
  </si>
  <si>
    <t>Այլ հավելա վճարներ</t>
  </si>
  <si>
    <t>Ընդամենը ամսական աշխատա վարձի ֆոնդ  /ս.8+ս.9+ս.10/</t>
  </si>
  <si>
    <t xml:space="preserve">Ըստ հաստատված կառուցվածքային ստորաբաժանումների </t>
  </si>
  <si>
    <t>Վարչություն /բաժին/</t>
  </si>
  <si>
    <t>Ընդամենը ըստ ստորաբաժանման</t>
  </si>
  <si>
    <t>Ընդամենը  ըստ  պետական կառավարման  մարմնի</t>
  </si>
  <si>
    <t>Հաստիքային ցուցակը կազմել ըստ հաստատված կառուցվածքային ստորաբաժանումների</t>
  </si>
  <si>
    <t>Քաղաքացիական ծառայողներ</t>
  </si>
  <si>
    <t>Ընդամենը քաղաքացիական ծառայողներ</t>
  </si>
  <si>
    <t>Ընդամենը  ըստ  նախարարության</t>
  </si>
  <si>
    <t>Ձև N 19</t>
  </si>
  <si>
    <t>Դիվանագիտական ծառայողներ</t>
  </si>
  <si>
    <t>Ընդամենը դիվանագիտական  ծառայողներ</t>
  </si>
  <si>
    <t>Ընդամենը հարկային, մաքսային ծառայողներ</t>
  </si>
  <si>
    <t>Ձև N 20</t>
  </si>
  <si>
    <t xml:space="preserve">Սահմանվող պաշտոնային դրույքաչափը </t>
  </si>
  <si>
    <t>Ձև N 21</t>
  </si>
  <si>
    <t>Ընդամենը հարկադիր կատարողներ</t>
  </si>
  <si>
    <t>Ձև N 22</t>
  </si>
  <si>
    <t>Աշխատանքային ստաժ</t>
  </si>
  <si>
    <t xml:space="preserve"> Պաշտոնային դրույքաչափը</t>
  </si>
  <si>
    <t>բարձր լեռնային վայրերում աշխատելու համար</t>
  </si>
  <si>
    <t>Ընդամենը ամսական աշխատա վարձի ֆոնդ</t>
  </si>
  <si>
    <t>Հավելավճարներ</t>
  </si>
  <si>
    <t xml:space="preserve">Ամսական աշխատա    վարձի ֆոնդ </t>
  </si>
  <si>
    <t>տարբերությունը</t>
  </si>
  <si>
    <t>Դատավորներ</t>
  </si>
  <si>
    <t>Ձև N 23</t>
  </si>
  <si>
    <t>Ընդամենը դատական ծառայողներ</t>
  </si>
  <si>
    <t>Ձև N 24</t>
  </si>
  <si>
    <t>Անուն, ազգանուն</t>
  </si>
  <si>
    <t xml:space="preserve">Ընդամենը ամսական աշխատա վարձի ֆոնդ  </t>
  </si>
  <si>
    <t>Ձև N 25</t>
  </si>
  <si>
    <t>Դատախազներ</t>
  </si>
  <si>
    <t>Ընդամենը դատախազներ</t>
  </si>
  <si>
    <t>Ձև N 26</t>
  </si>
  <si>
    <t>Ընդամենը պետական ծառայողներ</t>
  </si>
  <si>
    <t>Ընդամենը  ըստ  աշխատակազմի</t>
  </si>
  <si>
    <t>Ձև N 27</t>
  </si>
  <si>
    <t xml:space="preserve">Ընդամենը </t>
  </si>
  <si>
    <t>Ձև N 28</t>
  </si>
  <si>
    <t>Ձև N 29</t>
  </si>
  <si>
    <t>Հարկային ծառայողներ</t>
  </si>
  <si>
    <t>Մաքսային ծառայողներ</t>
  </si>
  <si>
    <t>Հարկադիր կատարողներ</t>
  </si>
  <si>
    <t xml:space="preserve">  4111</t>
  </si>
  <si>
    <t xml:space="preserve">  4112</t>
  </si>
  <si>
    <t>4113</t>
  </si>
  <si>
    <t>Շենքերի պահպանման ծառայություններ /դեռատիզացիա/</t>
  </si>
  <si>
    <t>աղբահանություն</t>
  </si>
  <si>
    <t>այլ</t>
  </si>
  <si>
    <t>ավտոմեքենաների տեխզննություն և բնապահպանական վճար</t>
  </si>
  <si>
    <t>Ընթացիկ սուբվենցիաներ համայնքներին</t>
  </si>
  <si>
    <t>Հաստիքային  միավորների  թիվը</t>
  </si>
  <si>
    <t>Էլեկտրաէներգիայով ջեռուցման ծառայություններ</t>
  </si>
  <si>
    <t xml:space="preserve">Հիմնավորումներ 8-րդ սյունակում ներկայացված փոփոխությունների վերաբերյալ  </t>
  </si>
  <si>
    <t xml:space="preserve">միջազգային ելից հեռախոսային  խոսակցություններ, այդ թվում` ֆաքսի միլային  միջազգային հաղորդագրություններ </t>
  </si>
  <si>
    <t xml:space="preserve">միջքաղաքային և դեպի բջջային ցանց ելից հեռախոսային խոսակցություններ, այդ թվում` ֆաքսիմիլային  միջքաղաքային հաղորդագրություններ </t>
  </si>
  <si>
    <r>
      <t xml:space="preserve">Ում է սպասարկում /նշել զբաղեցրած պաշտոնը/ </t>
    </r>
    <r>
      <rPr>
        <b/>
        <i/>
        <sz val="10"/>
        <color indexed="10"/>
        <rFont val="GHEA Grapalat"/>
        <family val="3"/>
      </rPr>
      <t>ենթակա է պարտադիր լրացման</t>
    </r>
  </si>
  <si>
    <t xml:space="preserve">Գործակից </t>
  </si>
  <si>
    <t>Սահմանվող պաշտոնային դրույքաչափը /դրամ/</t>
  </si>
  <si>
    <t>Դիվանագիտական աստիճանի համար սահմանվող հավելա վճարներ</t>
  </si>
  <si>
    <t xml:space="preserve">Հաստիքային միավորների թիվը </t>
  </si>
  <si>
    <t xml:space="preserve">Ամսական աշխատա    վարձի ֆոնդ    </t>
  </si>
  <si>
    <t>Կոչումը</t>
  </si>
  <si>
    <t>Կոչման համար տրվող հավելավճար</t>
  </si>
  <si>
    <t>Ընդամենը ամսական աշխատա վարձի ֆոնդ  /ս.10+ս.11+ս.12/</t>
  </si>
  <si>
    <r>
      <t>*</t>
    </r>
    <r>
      <rPr>
        <sz val="10"/>
        <color indexed="8"/>
        <rFont val="GHEA Grapalat"/>
        <family val="3"/>
      </rPr>
      <t>Աշխատավարձի հաշվարկման համար բազային աշխատավարձի չափը կազմում է 66140.0 դրամ:</t>
    </r>
  </si>
  <si>
    <t>Դասային աստիճանը</t>
  </si>
  <si>
    <r>
      <t>*</t>
    </r>
    <r>
      <rPr>
        <sz val="8"/>
        <rFont val="GHEA Grapalat"/>
        <family val="3"/>
      </rPr>
      <t xml:space="preserve">Սահմանվող պաշտոնային դրույքաչափը /ս.8 x բազային աշխատավարձ/ </t>
    </r>
  </si>
  <si>
    <t xml:space="preserve">Սահմանվող պաշտոնային դրույքաչափը արձ/ </t>
  </si>
  <si>
    <t>Աշխատանքային ստաժը /ըստ օրենքի հաշվարկման համար/</t>
  </si>
  <si>
    <t xml:space="preserve">Ընդամենը դասային աստիճանի և աշխատանքային ստաժի համար սահմանվող հավելավճար </t>
  </si>
  <si>
    <t>աշխատանքային ստաժի համար</t>
  </si>
  <si>
    <t>այլ հավելավճարներ</t>
  </si>
  <si>
    <t>Ընդամենը ամսական աշխատա վարձի ֆոնդ  /ս.14+ս.15+ս.16/</t>
  </si>
  <si>
    <t>Ընդամենը ամսական աշխատա վարձի ֆոնդ  /ս.19+ս.20+ս.21/</t>
  </si>
  <si>
    <t>Սահմանվող պաշտոնային դրույքաչափը</t>
  </si>
  <si>
    <t>Ընդամենը ամսական աշխատա վարձի ֆոնդ  /ս.16+ս.17+ս.18/</t>
  </si>
  <si>
    <t>Ընդամենը ամսական աշխատա վարձի ֆոնդ  /ս.21+ս.22+ս.23/</t>
  </si>
  <si>
    <t xml:space="preserve">Ընդամենը տարեկան աշխատա վարձի ֆոնդ  </t>
  </si>
  <si>
    <t xml:space="preserve">ընդամենը </t>
  </si>
  <si>
    <t>Քննչական կոմիտեի ծառայողներ</t>
  </si>
  <si>
    <t>Ընդամենը քննչական կոմիտեի ծառայողներ</t>
  </si>
  <si>
    <t>Ընդամենը  ըստ  դեպարտամենտի</t>
  </si>
  <si>
    <t>Ծառայության առանձնահատկություններով պայմանավորված տրվող հավելումներ (ՀՀ կառավարության 04.09.14թ.N 950-Ն որոշում)</t>
  </si>
  <si>
    <t xml:space="preserve">Ընդամենը ամսական աշխատավարձի ֆոնդ  </t>
  </si>
  <si>
    <t>…</t>
  </si>
  <si>
    <t>Բաժանորդային վարձի սակագինը ըստ կապի օպերատորի հետ կնքված պայմանագրի (ՀՀ դրամով` առանց ԱԱՀ-ի)</t>
  </si>
  <si>
    <t>2014թ. հուլիսի 1-ից հետո սահմանված հավելավճարի չափը</t>
  </si>
  <si>
    <r>
      <t>*</t>
    </r>
    <r>
      <rPr>
        <sz val="8"/>
        <rFont val="GHEA Grapalat"/>
        <family val="3"/>
      </rPr>
      <t xml:space="preserve">Սահմանվող պաշտոնային դրույքաչափը /ս.6 x բազային աշխատավարձ/ </t>
    </r>
  </si>
  <si>
    <t>Ընդամենը տարեկան G+M+R /հազ.դր./</t>
  </si>
  <si>
    <t>Ընդամենը ամբողջ կապը S+T+U+V /հազ.դր./</t>
  </si>
  <si>
    <t>ընդ. ամս. վճար D*E</t>
  </si>
  <si>
    <t xml:space="preserve">ընդ. տար. վճար F*12 </t>
  </si>
  <si>
    <t>Ընդանուր H*C</t>
  </si>
  <si>
    <t>անվճար I-D*360, մնացորդ</t>
  </si>
  <si>
    <t>րոպեավ. 360ր-ից ավել (I-J)*5դր</t>
  </si>
  <si>
    <t xml:space="preserve">տար. րոպեավ. L*12 </t>
  </si>
  <si>
    <t>ընդ. ամս. վճար (N+O) *1000</t>
  </si>
  <si>
    <t>P*20%</t>
  </si>
  <si>
    <t>ընդ. տար.վճար (P+Q)*12</t>
  </si>
  <si>
    <t>A</t>
  </si>
  <si>
    <t>M</t>
  </si>
  <si>
    <t>P</t>
  </si>
  <si>
    <t>Տրանսպորտային նյութեր</t>
  </si>
  <si>
    <t xml:space="preserve">Գյուղատնտեսական ապրանքներ </t>
  </si>
  <si>
    <t xml:space="preserve">Կենցաղային և հանրային սննդի նյութեր </t>
  </si>
  <si>
    <t>Ց Ա Ն Կ</t>
  </si>
  <si>
    <t xml:space="preserve">ՀՀ պետական մարմինների ծառայողական ավտոմեքենաների վերաբերյալ   </t>
  </si>
  <si>
    <t>ՀՀ պետական մարմինների տեխնիկայի միջոցների և գրասենյակային գույքի վերաբերյալ</t>
  </si>
  <si>
    <t>Պետական մարմնի կառուցվածքի և աշխատողների թվի վերաբերյալ</t>
  </si>
  <si>
    <t xml:space="preserve">Հայեցողական պաշտոններ </t>
  </si>
  <si>
    <t>խորհրդական</t>
  </si>
  <si>
    <t>օգնական</t>
  </si>
  <si>
    <t>մամուլի քարտուղար</t>
  </si>
  <si>
    <t>Տեխնիկական սպասարկում իրականացնող և քաղաքացիական աշխատանք կատարող անձնակազմ</t>
  </si>
  <si>
    <t>IV</t>
  </si>
  <si>
    <t xml:space="preserve">Ընդամենը աշխատողների թվաքանակը </t>
  </si>
  <si>
    <t>Նշել մարմնի կառուցվածքը  հաստատող  համապատասխան իրավական ակտի տարեթիվը և համարը</t>
  </si>
  <si>
    <t xml:space="preserve">Ընդամենը վճարման ենթակա հավելավճարներ </t>
  </si>
  <si>
    <t>հատուկ կարևորության և հույժ գաղտնի տեղեկություններին փաստացի իրազեկ անձանց հավելավճար</t>
  </si>
  <si>
    <r>
      <t xml:space="preserve">Դասային աստիճանի համար սահմանվող հավելավճարի տոկոսը </t>
    </r>
    <r>
      <rPr>
        <b/>
        <sz val="8"/>
        <color indexed="10"/>
        <rFont val="GHEA Grapalat"/>
        <family val="3"/>
      </rPr>
      <t xml:space="preserve"> (%)</t>
    </r>
  </si>
  <si>
    <r>
      <t xml:space="preserve">Աշխատանքային ստաժը /ըստ օրենքի հաշվարկման համար/ </t>
    </r>
    <r>
      <rPr>
        <b/>
        <sz val="8"/>
        <color indexed="10"/>
        <rFont val="GHEA Grapalat"/>
        <family val="3"/>
      </rPr>
      <t>(տարի)</t>
    </r>
  </si>
  <si>
    <t xml:space="preserve">Դասային աստիճանի համար հաշվարկվող հավելավճար </t>
  </si>
  <si>
    <r>
      <t>Աշխատանքային ստաժի համար հաշվարկվող հավելավճար</t>
    </r>
    <r>
      <rPr>
        <sz val="8"/>
        <color indexed="10"/>
        <rFont val="GHEA Grapalat"/>
        <family val="3"/>
      </rPr>
      <t xml:space="preserve"> /դրույքաչափի 2% յուր. տարվա համար/</t>
    </r>
    <r>
      <rPr>
        <b/>
        <sz val="8"/>
        <color indexed="10"/>
        <rFont val="GHEA Grapalat"/>
        <family val="3"/>
      </rPr>
      <t>(x)</t>
    </r>
  </si>
  <si>
    <r>
      <t>Ընդամենը օրենքով սահմանված կարգով հաշվարկվող հավելավճարներ /</t>
    </r>
    <r>
      <rPr>
        <b/>
        <sz val="8"/>
        <color indexed="10"/>
        <rFont val="GHEA Grapalat"/>
        <family val="3"/>
      </rPr>
      <t>մինչև դրույքաչափի 30%-ը</t>
    </r>
    <r>
      <rPr>
        <b/>
        <sz val="8"/>
        <rFont val="GHEA Grapalat"/>
        <family val="3"/>
      </rPr>
      <t>/</t>
    </r>
    <r>
      <rPr>
        <b/>
        <sz val="8"/>
        <color indexed="10"/>
        <rFont val="GHEA Grapalat"/>
        <family val="3"/>
      </rPr>
      <t>(x)</t>
    </r>
    <r>
      <rPr>
        <b/>
        <sz val="8"/>
        <rFont val="GHEA Grapalat"/>
        <family val="3"/>
      </rPr>
      <t xml:space="preserve"> </t>
    </r>
  </si>
  <si>
    <r>
      <rPr>
        <sz val="8"/>
        <color indexed="10"/>
        <rFont val="GHEA Grapalat"/>
        <family val="3"/>
      </rPr>
      <t>**</t>
    </r>
    <r>
      <rPr>
        <b/>
        <sz val="8"/>
        <rFont val="GHEA Grapalat"/>
        <family val="3"/>
      </rPr>
      <t xml:space="preserve">Սահմանվող պաշտոնային դրույքաչափը </t>
    </r>
  </si>
  <si>
    <t>Ընդամենը վճարման ենթակա հավելավճարներ (x)</t>
  </si>
  <si>
    <t>Քաղաքացիական /պետական, դատական, հատուկ/ ծառայողներ</t>
  </si>
  <si>
    <t>Աշխատավարձի ֆոնդի հաշվարկ</t>
  </si>
  <si>
    <t>Ձև N 16</t>
  </si>
  <si>
    <t xml:space="preserve"> /հազ. դրամ/</t>
  </si>
  <si>
    <t>/հազ. դրամ/</t>
  </si>
  <si>
    <t>Պետական մարմնի կողմից զբաղեցված տարածքների</t>
  </si>
  <si>
    <t>Զբաղեցվող տարածքի գտնվելու հասցեն</t>
  </si>
  <si>
    <t>Ընդամենը՝</t>
  </si>
  <si>
    <t>Տարեկան վարձավճարի գումարը                   (հազ դրամ)</t>
  </si>
  <si>
    <t>Տարածքը (քառ մետր)</t>
  </si>
  <si>
    <t>Պետական մարմնի ստորաբաժանման անվանումը, որի կողմից զբաղեցված է համապատասխան տարածքը</t>
  </si>
  <si>
    <t>Ընթացիկ դրամաշնորհներ պետական կառավարման հատվածին</t>
  </si>
  <si>
    <t>Աշխատակազմի մասնագիտական զարգացման ծառայություններ</t>
  </si>
  <si>
    <t>4639</t>
  </si>
  <si>
    <t>Այլ ընթացիկ դրամաշնորհներ</t>
  </si>
  <si>
    <t>Բյուջետային ծախսերի տնտ. դասակարգման հոդվածի անվանումը</t>
  </si>
  <si>
    <t>այդ  թվում՝</t>
  </si>
  <si>
    <t xml:space="preserve">  փաստացի  կատարո ղական</t>
  </si>
  <si>
    <t>Գազով ջեռուցման ծառայություններ</t>
  </si>
  <si>
    <t>Բյուջետային ծախսերի տնտեսագիտական դասակարգման հոդվածի անվանումը</t>
  </si>
  <si>
    <t>Կապի այլ ծառայություններ</t>
  </si>
  <si>
    <t>(ս.4 x բաժանորդային վարձ (առանց ԱԱՀ) x 12ամիս) դրամ</t>
  </si>
  <si>
    <r>
      <t xml:space="preserve">ԸՆԴԱՄԵՆԸ                        (ներառյալ՝ </t>
    </r>
    <r>
      <rPr>
        <i/>
        <sz val="10"/>
        <rFont val="GHEA Grapalat"/>
        <family val="3"/>
      </rPr>
      <t>ԱԱՀ-ն)</t>
    </r>
  </si>
  <si>
    <t>Ձև N 5</t>
  </si>
  <si>
    <t>Ընդամենը  տարեկան ծախսի նորմը (կվտ/ժ)</t>
  </si>
  <si>
    <t xml:space="preserve">Ջերմային էներգիայի տարեկան ծախսի նորմը` կվտ/Ժ/ խոր.մետր                 </t>
  </si>
  <si>
    <t xml:space="preserve">Ընդամենը ծառայողական ավտոմեքենաների  սահմանաքանակը` _________   </t>
  </si>
  <si>
    <t>համաձայն ՀՀ կառավարության 2005 թվականի փետրվարի 17-ի N 194-Ն որոշմամբ հաստատված կարգի</t>
  </si>
  <si>
    <t>Առկա մեքենաներ</t>
  </si>
  <si>
    <t>հոդվածի կոդը</t>
  </si>
  <si>
    <t>Ձև N 3</t>
  </si>
  <si>
    <t xml:space="preserve">Ձև N  4 </t>
  </si>
  <si>
    <t>ՎԱՐՁԱԿԱԼՈՒԹՅԱՄԲ</t>
  </si>
  <si>
    <t>ՍԵՓԱԿԱՆՈՒԹՅԱՆ ԻՐԱՎՈՒՆՔՈՎ</t>
  </si>
  <si>
    <t xml:space="preserve">ԱՆՀԱՏՈՒՅՑ ՕԳՏԱԳՈՐԾՄԱՆ </t>
  </si>
  <si>
    <t>Տարածքը զբաղեցնելու իրավական հիմքը (համապատասխան իրավական ակտի, Վարձակալության պայմանագրի կամ սեփականության վկայականի համարը)</t>
  </si>
  <si>
    <t>լրացնել ապրանքի կամ ծառայության նկարագրությունը</t>
  </si>
  <si>
    <t>Ծառայողական գործուղումների գծով ծախսեր</t>
  </si>
  <si>
    <t xml:space="preserve">Տվյալ տարածքում վճարման ենթակա ընդամենը կոմունալ ծախսը                  </t>
  </si>
  <si>
    <t>Էլեկտրաէներգիա (լուսավորություն)  /հազ դրամ/</t>
  </si>
  <si>
    <t>Էլեկտրաէներգիա (ջեռուցում)           /հազ դրամ/</t>
  </si>
  <si>
    <t>Գազ (ջեռուցում)          /հազ դրամ/</t>
  </si>
  <si>
    <t>Ջուր                   /հազ դրամ/</t>
  </si>
  <si>
    <t>4824</t>
  </si>
  <si>
    <t>Առողջապահական և լաբորատոր նյութեր</t>
  </si>
  <si>
    <t>Բաժին</t>
  </si>
  <si>
    <t>խումբ</t>
  </si>
  <si>
    <t>դաս</t>
  </si>
  <si>
    <t xml:space="preserve"> Ծրագրային դասիչը</t>
  </si>
  <si>
    <t xml:space="preserve"> Ծրագիր</t>
  </si>
  <si>
    <t xml:space="preserve"> Միջոցառում</t>
  </si>
  <si>
    <t xml:space="preserve"> այդ թվում`</t>
  </si>
  <si>
    <t xml:space="preserve">Ընդհանուր գումարը            </t>
  </si>
  <si>
    <t>ենթակա է պարտադիր լրացման</t>
  </si>
  <si>
    <t xml:space="preserve">Բյուջետային ծախսերի տնտեսագիտական դասակարգման մյուս հոդվածների գծով ավելացնել նոր տողեր՝ ըստ անհրաժեշտության </t>
  </si>
  <si>
    <t>Պետական հատվածի տարբեր մակարդակների կողմից միմյանց նկատմամբ կիրառվող տույժեր</t>
  </si>
  <si>
    <t>Գլխավոր քարտուղար</t>
  </si>
  <si>
    <t>Գլխավոր քարտուղարի տեղակալ</t>
  </si>
  <si>
    <t xml:space="preserve">Կառուցվածքային ստորաբաժանումներ՝  </t>
  </si>
  <si>
    <t xml:space="preserve">այդ թվում` </t>
  </si>
  <si>
    <t>Հիմնական մասնագիտական կառուցվածքային ստորաբաժանումներ</t>
  </si>
  <si>
    <t>2)</t>
  </si>
  <si>
    <t>1)</t>
  </si>
  <si>
    <t>Աջակցող մասնագիտական կառուցվածքային ստորաբաժանումներ</t>
  </si>
  <si>
    <t>Գրասենյակ, գործակալություն</t>
  </si>
  <si>
    <t xml:space="preserve">Ղեկավար պաշտոններ </t>
  </si>
  <si>
    <t>ՀՀ կառավարության  2014թ. հուլիսի 3-ի «Պետական իշխանության մարմիններում քաղաքացիական աշխատանք կատարող և տեխնիկական սպասարկում իրականացնող անձանց պաշտոնային դրույքաչափերը սահմանելու մասին» N 737-Ն որոշում</t>
  </si>
  <si>
    <t>«Պետական պաշտոններ և պետական ծառայության պաշտոններ զբաղեցնող անձանց վարձատրության մասին» ՀՀ օրենք</t>
  </si>
  <si>
    <t xml:space="preserve">Քաղաքացիական աշխատանք կատարող և տեխնիկական սպասարկում իրականացնող անձնակազմ </t>
  </si>
  <si>
    <t>Քաղաքացիական աշխատանք կատարող և տեխնիկական սպասարկում իրականացնող անձնակազմ</t>
  </si>
  <si>
    <r>
      <t xml:space="preserve">Կոչման համար սահմանվող հավելավճարի տոկոսը </t>
    </r>
    <r>
      <rPr>
        <b/>
        <sz val="8"/>
        <color indexed="10"/>
        <rFont val="GHEA Grapalat"/>
        <family val="3"/>
      </rPr>
      <t xml:space="preserve"> </t>
    </r>
  </si>
  <si>
    <r>
      <t>*</t>
    </r>
    <r>
      <rPr>
        <b/>
        <sz val="8"/>
        <rFont val="GHEA Grapalat"/>
        <family val="3"/>
      </rPr>
      <t xml:space="preserve">Սահմանվող պաշտոնային դրույքաչափը /ս.8 x բազային աշխատավարձ/ </t>
    </r>
  </si>
  <si>
    <t xml:space="preserve">Դիվանագիտական աստիճանի համար  սահմանվող հավելավճարի տոկոսը </t>
  </si>
  <si>
    <t xml:space="preserve">Դասային աստիճանի համար սահմանվող հավելավճարի տոկոսը </t>
  </si>
  <si>
    <t>Աշխատանքային ստաժի համար հաշվարկվող հավելավճար</t>
  </si>
  <si>
    <r>
      <t xml:space="preserve">Դասային աստիճանի համար սահմանվող հավելավճարի տոկոսը </t>
    </r>
    <r>
      <rPr>
        <b/>
        <sz val="8"/>
        <color indexed="10"/>
        <rFont val="GHEA Grapalat"/>
        <family val="3"/>
      </rPr>
      <t xml:space="preserve"> </t>
    </r>
  </si>
  <si>
    <r>
      <t>*</t>
    </r>
    <r>
      <rPr>
        <b/>
        <sz val="8"/>
        <rFont val="GHEA Grapalat"/>
        <family val="3"/>
      </rPr>
      <t xml:space="preserve">Սահմանվող պաշտոնային դրույքաչափը </t>
    </r>
  </si>
  <si>
    <t xml:space="preserve"> Բյուջետային հատկացումների ծրագրերի և միջոցառումների անվանումները</t>
  </si>
  <si>
    <t>Հայեցողական պաշտոններ /խորհրդական, օգնական, մամուլի քարտուղար/</t>
  </si>
  <si>
    <r>
      <t>ԱՇԽԱՏԱՆՔԻ  ՎԱՐՁԱՏՐՈՒԹՅՈՒՆ</t>
    </r>
    <r>
      <rPr>
        <b/>
        <sz val="12"/>
        <color indexed="10"/>
        <rFont val="GHEA Grapalat"/>
        <family val="3"/>
      </rPr>
      <t xml:space="preserve">  </t>
    </r>
  </si>
  <si>
    <t xml:space="preserve">Ընդամենը  </t>
  </si>
  <si>
    <t>Մարմնի ղեկավար</t>
  </si>
  <si>
    <t>Մարմնի ղեկավարի տեղակալ</t>
  </si>
  <si>
    <t>Ընդամենը  ըստ  ծառայության</t>
  </si>
  <si>
    <r>
      <t>*</t>
    </r>
    <r>
      <rPr>
        <sz val="10"/>
        <rFont val="GHEA Grapalat"/>
        <family val="3"/>
      </rPr>
      <t>Աշխատավարձի հաշվարկման համար բազային աշխատավարձի չափը կազմում է 66140.0 դրամ:</t>
    </r>
  </si>
  <si>
    <t>Լուսավորության և կենցաղային սարքերի ծախսի, օդի լավորակման դեպքում` շենքերի և շինությունների 1քառ/մետր մակերեսի համար</t>
  </si>
  <si>
    <t>Ընդամենը (I+II+III)</t>
  </si>
  <si>
    <t>Ձև N 30</t>
  </si>
  <si>
    <t xml:space="preserve">Ծրագրի վրա կատարվող ծախսը </t>
  </si>
  <si>
    <t>(հազար դրամ)</t>
  </si>
  <si>
    <t xml:space="preserve">Միջոցառման վրա կատարվող ծախսը - ընթացիկ ծախսեր </t>
  </si>
  <si>
    <r>
      <t xml:space="preserve">Միջոցառման վրա կատարվող ծախսը - ոչ ֆինանսական ակտիվների գծով ծախսեր </t>
    </r>
    <r>
      <rPr>
        <sz val="10"/>
        <rFont val="GHEA Grapalat"/>
        <family val="3"/>
      </rPr>
      <t>(Վարչական  սարքավորումներ)</t>
    </r>
  </si>
  <si>
    <t>Գործուղման նպատակը</t>
  </si>
  <si>
    <t>4637</t>
  </si>
  <si>
    <t>Ընթացիկ դրամաշնորհներ պետական և համայնքների ոչ առևտրային կազմակերպություններին</t>
  </si>
  <si>
    <t xml:space="preserve">Աճեցվող ակտիվներ </t>
  </si>
  <si>
    <t xml:space="preserve"> Ընթացիկ դրամաշնորհներ պետական և համայնքային առևտրային կազմակերպություններին</t>
  </si>
  <si>
    <t>2021թ.</t>
  </si>
  <si>
    <t>2022թ.</t>
  </si>
  <si>
    <t>2023թ.</t>
  </si>
  <si>
    <t>2023թ. բյուջետային  հայտ</t>
  </si>
  <si>
    <t>Վարձակալությամբ/ենթավարձակալությամբ գույքը հանձնող սուբյեկտի անվանումը՝ ըստ  պայմանագրի</t>
  </si>
  <si>
    <t xml:space="preserve">2022թ. </t>
  </si>
  <si>
    <t xml:space="preserve">Գործակից /2022թ. հուլիսի 1-ի դրությամբ/  </t>
  </si>
  <si>
    <t xml:space="preserve">Գործակից /2023թ. հուլիսի 1-ի դրությամբ/  </t>
  </si>
  <si>
    <t xml:space="preserve">2023թ. </t>
  </si>
  <si>
    <t>Տվյալ պաշտոնում աշխատանքային ստաժը /2023թ. հուլիսի 1-ի դրությամբ/  (տարի/ամիս)</t>
  </si>
  <si>
    <t xml:space="preserve">Ընդամենը ամսական աշխատա վարձի ֆոնդ </t>
  </si>
  <si>
    <t xml:space="preserve">2023 թ. </t>
  </si>
  <si>
    <t>2022 թ.</t>
  </si>
  <si>
    <t>2023 թ.</t>
  </si>
  <si>
    <r>
      <t xml:space="preserve">Աշխատանքային ստաժը /ըստ օրենքի հաշվարկման համար/ </t>
    </r>
    <r>
      <rPr>
        <b/>
        <sz val="8"/>
        <color indexed="10"/>
        <rFont val="GHEA Grapalat"/>
        <family val="3"/>
      </rPr>
      <t>(տարի)</t>
    </r>
  </si>
  <si>
    <r>
      <t>**</t>
    </r>
    <r>
      <rPr>
        <b/>
        <sz val="8"/>
        <rFont val="GHEA Grapalat"/>
        <family val="3"/>
      </rPr>
      <t xml:space="preserve">Սահմանվող պաշտոնային դրույքաչափը </t>
    </r>
  </si>
  <si>
    <r>
      <t>Ընդամենը օրենքով սահմանված կարգով հաշվարկվող հավելավճարներ /</t>
    </r>
    <r>
      <rPr>
        <b/>
        <sz val="8"/>
        <color indexed="10"/>
        <rFont val="GHEA Grapalat"/>
        <family val="3"/>
      </rPr>
      <t>մինչև դրույքաչափի 30%-ը</t>
    </r>
    <r>
      <rPr>
        <b/>
        <sz val="8"/>
        <rFont val="GHEA Grapalat"/>
        <family val="3"/>
      </rPr>
      <t>/</t>
    </r>
    <r>
      <rPr>
        <b/>
        <sz val="8"/>
        <color indexed="10"/>
        <rFont val="GHEA Grapalat"/>
        <family val="3"/>
      </rPr>
      <t>(x)</t>
    </r>
    <r>
      <rPr>
        <b/>
        <sz val="8"/>
        <rFont val="GHEA Grapalat"/>
        <family val="3"/>
      </rPr>
      <t xml:space="preserve"> </t>
    </r>
  </si>
  <si>
    <t>Տվյալ պաշտոնում աշխատան քային ստաժը /2022թ. հուլիսի 1-ի դրությամբ/   (տարի)</t>
  </si>
  <si>
    <t>Տվյալ պաշտոնում աշխատան քային ստաժը /2023թ. հուլիսի 1-ի դրությամբ/   (տարի)</t>
  </si>
  <si>
    <t>Ընդամենը ամսական աշխատա վարձի ֆոնդ  /ս.20+ս.21+ս.22/</t>
  </si>
  <si>
    <t>2024թ. բյուջետային  հայտ</t>
  </si>
  <si>
    <t>2024թ.</t>
  </si>
  <si>
    <t>2023թ. ընդամենը գումարը  /հազ.դրամ/</t>
  </si>
  <si>
    <t>2024թ. ընդամենը գումարը  /հազ.դրամ/</t>
  </si>
  <si>
    <t>Տվյալ պաշտոնում աշխատանքային ստաժը /2024թ. հուլիսի 1-ի դրությամբ/  (տարի/ամիս)</t>
  </si>
  <si>
    <t xml:space="preserve">Գործակից /2024թ. հուլիսի 1-ի դրությամբ/  </t>
  </si>
  <si>
    <t xml:space="preserve">2024թ. </t>
  </si>
  <si>
    <t>2024 թ.</t>
  </si>
  <si>
    <t>Տվյալ պաշտոնում աշխատան քային ստաժը /2024թ. հուլիսի 1-ի դրությամբ/   (տարի)</t>
  </si>
  <si>
    <t xml:space="preserve">2024 թ. </t>
  </si>
  <si>
    <t>4655</t>
  </si>
  <si>
    <t>Կապիտալ դրամաշնորհներ պետական և համայնքային ոչ առևտրային կազմակերպություններին</t>
  </si>
  <si>
    <t xml:space="preserve">Դատարանների կողմից նշանակված տույժեր ու տուգանքներ </t>
  </si>
  <si>
    <t xml:space="preserve">Կառավարման մարմինների գործունեության հետևանքով առաջացած վնասվածքների  կամ վնասների վերականգնում </t>
  </si>
  <si>
    <r>
      <t xml:space="preserve">Դատախազության աշխատակազմի պետական ծառայողներ </t>
    </r>
    <r>
      <rPr>
        <b/>
        <sz val="9"/>
        <color indexed="10"/>
        <rFont val="GHEA Grapalat"/>
        <family val="3"/>
      </rPr>
      <t>**</t>
    </r>
  </si>
  <si>
    <r>
      <t xml:space="preserve">Քննչական կոմիտեի դեպարտամենտի պետական ծառայողներ </t>
    </r>
    <r>
      <rPr>
        <b/>
        <sz val="9"/>
        <color indexed="10"/>
        <rFont val="GHEA Grapalat"/>
        <family val="3"/>
      </rPr>
      <t>**</t>
    </r>
  </si>
  <si>
    <r>
      <rPr>
        <b/>
        <sz val="12"/>
        <color indexed="10"/>
        <rFont val="GHEA Grapalat"/>
        <family val="3"/>
      </rPr>
      <t>*</t>
    </r>
    <r>
      <rPr>
        <sz val="10"/>
        <rFont val="GHEA Grapalat"/>
        <family val="3"/>
      </rPr>
      <t>Աշխատավարձի հաշվարկման համար բազային աշխատավարձի չափը կազմում է 66140.0 դրամ:</t>
    </r>
  </si>
  <si>
    <r>
      <t xml:space="preserve">** </t>
    </r>
    <r>
      <rPr>
        <sz val="10"/>
        <rFont val="GHEA Grapalat"/>
        <family val="3"/>
      </rPr>
      <t>Դատական կարգադրիչների թափուր հաստիքների պաշտոնային դրույքաչափի հաշվարկման համար կիրառել համապատասխան սանդղակի 6-րդ մակարդակում ներկայացված գործակիցը:</t>
    </r>
  </si>
  <si>
    <r>
      <t>**</t>
    </r>
    <r>
      <rPr>
        <sz val="10"/>
        <rFont val="GHEA Grapalat"/>
        <family val="3"/>
      </rPr>
      <t>Դատական /քաղաքացիական / ծառայողների թափուր հաստիքների պաշտոնային դրույքաչափի հաշվարկման համար կիրառել համապատասխան սանդղակի 6-րդ մակարդակում ներկայացված գործակիցը:</t>
    </r>
  </si>
  <si>
    <r>
      <t>**</t>
    </r>
    <r>
      <rPr>
        <sz val="10"/>
        <rFont val="GHEA Grapalat"/>
        <family val="3"/>
      </rPr>
      <t>Հարկադիր /քաղաքացիական/ ծառայողների թափուր հաստիքների պաշտոնային դրույքաչափի հաշվարկման համար կիրառել համապատասխան սանդղակի 6-րդ մակարդակում ներկայացված գործակիցը:</t>
    </r>
  </si>
  <si>
    <r>
      <t>**</t>
    </r>
    <r>
      <rPr>
        <sz val="10"/>
        <rFont val="GHEA Grapalat"/>
        <family val="3"/>
      </rPr>
      <t>Քաղաքացիական /հարկային, մաքսային/ ծառայողների թափուր հաստիքների պաշտոնային դրույքաչափի հաշվարկման համար կիրառել համապատասխան սանդղակի 6-րդ մակարդակում ներկայացված գործակիցը:</t>
    </r>
  </si>
  <si>
    <r>
      <t xml:space="preserve">Հարկային, մաքսային ծառայողներ </t>
    </r>
    <r>
      <rPr>
        <b/>
        <sz val="9"/>
        <color indexed="10"/>
        <rFont val="GHEA Grapalat"/>
        <family val="3"/>
      </rPr>
      <t>**</t>
    </r>
  </si>
  <si>
    <r>
      <t xml:space="preserve">Քաղաքացիական ծառայողներ </t>
    </r>
    <r>
      <rPr>
        <b/>
        <sz val="9"/>
        <color indexed="10"/>
        <rFont val="GHEA Grapalat"/>
        <family val="3"/>
      </rPr>
      <t>**</t>
    </r>
  </si>
  <si>
    <r>
      <rPr>
        <b/>
        <sz val="10"/>
        <color indexed="10"/>
        <rFont val="GHEA Grapalat"/>
        <family val="3"/>
      </rPr>
      <t>**</t>
    </r>
    <r>
      <rPr>
        <sz val="10"/>
        <rFont val="GHEA Grapalat"/>
        <family val="3"/>
      </rPr>
      <t>Քաղաքացիական  ծառայողների թափուր հաստիքների պաշտոնային դրույքաչափի հաշվարկման համար կիրառել համապատասխան սանդղակի 6-րդ մակարդակում ներկայացված գործակիցը:</t>
    </r>
  </si>
  <si>
    <r>
      <t>Հարկադիր  կատարողներ</t>
    </r>
    <r>
      <rPr>
        <b/>
        <sz val="9"/>
        <color indexed="10"/>
        <rFont val="GHEA Grapalat"/>
        <family val="3"/>
      </rPr>
      <t xml:space="preserve"> **</t>
    </r>
  </si>
  <si>
    <r>
      <t xml:space="preserve">Դատական ծառայողներ </t>
    </r>
    <r>
      <rPr>
        <b/>
        <sz val="9"/>
        <color indexed="10"/>
        <rFont val="GHEA Grapalat"/>
        <family val="3"/>
      </rPr>
      <t>**</t>
    </r>
  </si>
  <si>
    <r>
      <t xml:space="preserve">Ընդամենը դատական կարգադրիչներ </t>
    </r>
    <r>
      <rPr>
        <b/>
        <i/>
        <sz val="9"/>
        <color indexed="10"/>
        <rFont val="GHEA Grapalat"/>
        <family val="3"/>
      </rPr>
      <t>**</t>
    </r>
  </si>
  <si>
    <r>
      <t xml:space="preserve">** </t>
    </r>
    <r>
      <rPr>
        <sz val="10"/>
        <color indexed="8"/>
        <rFont val="GHEA Grapalat"/>
        <family val="3"/>
      </rPr>
      <t>Պետական ծառայողների թափուր հաստիքների պաշտոնային դրույքաչափի հաշվարկման համար կիրառել համապատասխան սանդղակի 6-րդ մակարդակում ներկայացված գործակիցը:</t>
    </r>
  </si>
  <si>
    <r>
      <t>**</t>
    </r>
    <r>
      <rPr>
        <sz val="10"/>
        <rFont val="GHEA Grapalat"/>
        <family val="3"/>
      </rPr>
      <t>Պետական ծառայողների թափուր հաստիքների պաշտոնային դրույքաչափի հաշվարկման համար կիրառել համապատասխան սանդղակի 6-րդ մակարդակում ներկայացված գործակիցը:</t>
    </r>
  </si>
  <si>
    <t>2021թ.  փաստացի  կատարողական</t>
  </si>
  <si>
    <t xml:space="preserve"> 2022թ. հաստատված բյուջե</t>
  </si>
  <si>
    <t>2025թ. բյուջետային  հայտ</t>
  </si>
  <si>
    <t>2025թ.</t>
  </si>
  <si>
    <t>հայտի տարբերությունը 2022թ. հաստատվածի նկատմամբ</t>
  </si>
  <si>
    <t>հայտի տարբերությունը 2021թ. փաստացի կատարողականի նկատմամբ</t>
  </si>
  <si>
    <t>Տնտեսագիտական դասակարգման հոդվածների գծով 2023թ. ընթացքում նախատեսվող ծախսերը՝ ըստ ապրանքների և ծառայությունների տեսակների</t>
  </si>
  <si>
    <t>2022թ. հաստատված</t>
  </si>
  <si>
    <t>2023թ. բյուջետային հայտ</t>
  </si>
  <si>
    <t>2023թ. բյուջետային հայտի և  2022թ. հաստատվածի տարբերությունը</t>
  </si>
  <si>
    <t>ՀՀ  պետական  մարմինների 2023վականի  կապի ծառայությունների  վճարների</t>
  </si>
  <si>
    <t>ՀՀ  դատական իշխանության մարմինների 2023 թվականի փոստային կապի ծառայությունների վճարների</t>
  </si>
  <si>
    <t>ՀՀ  դատական իշխանության  մարմինների 2023 թվականի  կապի ծառայությունների  վճարների</t>
  </si>
  <si>
    <t>ՀՀ  պետական  մարմինների 2023 թվականի էլեկտրաէներգիայի ծախսերի /բացառությամբ ջեռուցման/</t>
  </si>
  <si>
    <t>ՀՀ  պետական մարմինների վարչական շենքերի և շինությունների 2023 թվականի ջեռուցման համար անհրաժեշտ էլեկտրաէներգիայի ծախսերի</t>
  </si>
  <si>
    <t>2023 թվականի ՀՀ  պետական մարմինների վարչական շենքերի և շինությունների գազով ջեռուցման համար անհրաժեշտ  ծախսերի</t>
  </si>
  <si>
    <t>2021թ. փաստացի</t>
  </si>
  <si>
    <t xml:space="preserve"> 2022թ. ընթացքում գնման ենթակա </t>
  </si>
  <si>
    <t>2022թ. բյուջեով նախատեսված գումարը</t>
  </si>
  <si>
    <t>2025թ. ընդամենը գումարը  /հազ.դրամ/</t>
  </si>
  <si>
    <t>Յուրաքանչյուր մարմնի համար լրացնել ՀՀ կառավարության համապատասխան որոշման պահանջների համաձայն</t>
  </si>
  <si>
    <t xml:space="preserve">2025թ. </t>
  </si>
  <si>
    <t>Տվյալ պաշտոնում աշխատանքային ստաժը /2025թ. հուլիսի 1-ի դրությամբ/  (տարի/ամիս)</t>
  </si>
  <si>
    <t xml:space="preserve">Գործակից /2025թ. հուլիսի 1-ի դրությամբ/  </t>
  </si>
  <si>
    <t xml:space="preserve">Տվյալ պաշտոնում աշխատան քային ստաժը /2022թ. հուլիսի 1-ի դրությամբ/  </t>
  </si>
  <si>
    <t>2025 թ.</t>
  </si>
  <si>
    <t>Դիվանագիտական աստիճանի համար  2014թ. հուլիսի 1-ից հետո սահմանված հավելավճարի չափը</t>
  </si>
  <si>
    <t>Տվյալ պաշտոնում աշխատան քային ստաժը /2025թ. հուլիսի 1-ի դրությամբ/   (տարի)</t>
  </si>
  <si>
    <t xml:space="preserve">2025 թ. </t>
  </si>
  <si>
    <t>Առանձնակի ռիսկային և մասնագիտացում պահանջող պաշտոն զբաղեցնելու հետ կապված տրվող հավելում</t>
  </si>
  <si>
    <t>Հակակոռուպցիոն կոմիտեի ինքնավար պաշտոն զբաղեցնող անձինք և ծառայողներ</t>
  </si>
  <si>
    <t>Ընդամենը կոմիտեի ինքնավար պաշտոն զբաղեցնող անձինք և ծառայողներ</t>
  </si>
  <si>
    <t>Ձև N 14</t>
  </si>
  <si>
    <t>ՀԱՇՎԱՐԿ</t>
  </si>
  <si>
    <t>Վերապատրաստվողների թիվը                                                   (մարդ)</t>
  </si>
  <si>
    <t>Ընդամենը (հազար դրամ)</t>
  </si>
  <si>
    <t>Ա</t>
  </si>
  <si>
    <t xml:space="preserve">այլ հավելավճարներ </t>
  </si>
  <si>
    <t>Ձև N 31</t>
  </si>
  <si>
    <t>Մեկ ժամի վերապատրաստման արժեքը                                        (դրամ)</t>
  </si>
  <si>
    <t>ռիսկայնությունից ելնելով տրվող հավելում </t>
  </si>
  <si>
    <t>Յուրաքանչյուր դասընթացի ծավալը (ժամ)</t>
  </si>
  <si>
    <t>Դասընթացի նկարագրությունը</t>
  </si>
  <si>
    <t>Շինության տարածքը (քառ մետր)</t>
  </si>
  <si>
    <t>Il. ԸՆԹԱՑԻԿ, ՄԻՋԻՆ ՆՈՐՈԳՄԱՆ, ԸՆԹԱՑԻԿ ՊԱՀՊԱՆՄԱՆ ԵՎ ՆԵՐՔԻՆ ՀԱՐԴԱՐՄԱՆ ԱՇԽԱՏԱՆՔՆԵՐԸ</t>
  </si>
  <si>
    <t xml:space="preserve">Տվյալ տարածքում կատարվելիք ընթացիկ նորոգման և պահպանման աշխատանքները,
հիմքը՝ ՀՀ կառավարության 2015թ. մարտի 19-ի N 596-Ն որոշման N 4 հավելվածի Ցանկ N 1           </t>
  </si>
  <si>
    <t>ՆԱԽԱՀԱՇՎԱՅԻՆ ԳԻՆԸ</t>
  </si>
  <si>
    <t>Պետական մարմնի ստորաբաժանման անվանումը, որի կողմից զբաղեցվում է համապատասխան տարածքը</t>
  </si>
  <si>
    <t xml:space="preserve">Տարածքը զբաղեցնելու իրավական հիմքը </t>
  </si>
  <si>
    <t>Զբաղեցվող շինության/տարածքի գտնվելու հասցեն</t>
  </si>
  <si>
    <t>Թերությունների ակտի և նախահաշվի առկայությունը (կցել առկայության դեպքում)*</t>
  </si>
  <si>
    <t>ՀՀ կառավարության 2015թ. մարտի 19-ի N 596-Ն որոշման N 4 հավելվածի Ցանկ N 1, կետ 2: 
2. Ընթացիկ նորոգման, ներքին հարդարման, ընթացիկ պահպանման և ընդհանուր օգտագործման տարածքներում բարեկարգման աշխատանքների կազմակերպման համար կարող է կատարվել շենքերի և շինությունների ուսումնասիրություն, կազմվել թերությունների մասին ակտ, աշխատանքների ցանկ և, անհրաժեշտության դեպքում, նախահաշիվ:</t>
  </si>
  <si>
    <t>Պետական մարմնի կողմից զբաղեցված շինությունների/տարածքների ընթացիկ նորոգման աշխատանքներ</t>
  </si>
  <si>
    <t xml:space="preserve">Ընդամենը աշխատանքային ստաժի  և դասային աստիճանի համար սահմանվող հավելավճար </t>
  </si>
  <si>
    <t>X</t>
  </si>
  <si>
    <t>4115</t>
  </si>
  <si>
    <t>- Այլ վարձատրություն</t>
  </si>
  <si>
    <r>
      <t>Հակակոռուպցիոն կոմիտեի  քաղաքացիական ծառայողներ</t>
    </r>
    <r>
      <rPr>
        <b/>
        <sz val="9"/>
        <color indexed="10"/>
        <rFont val="GHEA Grapalat"/>
        <family val="3"/>
      </rPr>
      <t xml:space="preserve"> **</t>
    </r>
  </si>
  <si>
    <t>Մաշվածությունը (տարեկան 12%)*</t>
  </si>
  <si>
    <t>ՀՀ ֆինանսների նախարարի 2016թ. հունվարի 8-ի N 3-Ն հրամանի համաձայն մարդատար ավտոմեքենաների նորմատիվային օգտակար ծառայության ժամկետը սահմանված է 10 տարի</t>
  </si>
  <si>
    <t>․․․</t>
  </si>
  <si>
    <t>Առկա դյուրակիր համակարգիչներ (լափթոփներ, նոութբուքեր). գրպանի ՊԴԱ (PDA) համակարգիչներ և համանման այլ համակարգչային սարքավորումներ), թիվը` ընդամենը</t>
  </si>
  <si>
    <t xml:space="preserve">Առկա համակարգիչների (ներառյալ` սեղանի (ստատիկ) համակարգիչների) թիվը` ընդամենը </t>
  </si>
  <si>
    <t>Մոնիտորներ և պրոյեկտորներ, թիվը` ընդամենը</t>
  </si>
  <si>
    <t>Տպիչ, համակարգչին կամ համակարգչային ցանցին միանալու հնարավորություն ունեցող պատճենահանող և ֆաքսիմիլային սարքեր,  թիվը` ընդամենը</t>
  </si>
  <si>
    <t>Նշված խմբում ընդգրկված այլ համակարգչային սարքեր, թիվը` ընդամենը</t>
  </si>
  <si>
    <t>Դաս</t>
  </si>
  <si>
    <t>Խումբ</t>
  </si>
  <si>
    <t>Տեսակ</t>
  </si>
  <si>
    <t>Օգտակար ծառայության ժամկետ</t>
  </si>
  <si>
    <t>(տարի)</t>
  </si>
  <si>
    <t>Գրասենյակային և տնտեսական գույք և պարագաներ, գործիքներ</t>
  </si>
  <si>
    <t>Համակարգիչներ (ներառյալ` սեղանի (ստատիկ) համակարգիչներ, դյուրակիր համակարգիչներ (լափթոփներ, նոութբուքեր). գրպանի ՊԴԱ (PDA) համակարգիչներ և համանման այլ համակարգչային սարքավորումներ)</t>
  </si>
  <si>
    <t>Համակարգչային սարքավորումներ և տեխնիկա (ներառյալ` մոնիտորներ և պրոյեկտորներ, օգտագործվող բացառապես տվյալների ավտոմատ մշակման համակարգերում, հիշող սարքեր, կիսահաղորդչային հիշող սարքեր, ապահովող տեղեկատվության պահպանումը հոսանքի անջատման դեպքում, տպիչ, համակարգչին կամ համակարգչային ցանցին միանալու հնարավորություն ունեցող պատճենահանող և ֆաքսիմիլային սարքեր` միավորված կամ չմիավորված և այլն)</t>
  </si>
  <si>
    <t>Այլ համակարգչային սարքավորումներ և տեխնիկա</t>
  </si>
  <si>
    <t>Հեռախոսներ (այդ թվում` բջջային), ռադիոհաղորդակցման սարքեր</t>
  </si>
  <si>
    <t>Համակարգչային սարքավորումներ/տեխնիկա</t>
  </si>
  <si>
    <t>Գրասենյակային և տնտեսական գույք</t>
  </si>
  <si>
    <t>Գրասենյակային էլեկտրական տեխնիկա (ներառյալ` հեռուստացույցներ, սառնարաններ, խմելու ջրի սարքեր, օդորակիչներ, տաքացուցիչներ, փոշեկուլներ, տեսախցիկներ, ֆոտոխցիկներ, տեղորոշիչ սարքեր (GPS) և այլն), այդ թվում՝</t>
  </si>
  <si>
    <t>Կահույք (ներառյալ` գրասեղաններ, սեղաններ, աթոռներ, բազկաթոռներ, փափուկ կահույք, զգեստապահարաններ, գրապահարաններ, գրադարակներ, չհրկիզվող պահարաններ և այլն), գորգեր, հայելիներ, այդ թվում՝</t>
  </si>
  <si>
    <t xml:space="preserve">Այլ գրասենյակային և տնտեսական գույք </t>
  </si>
  <si>
    <t>Հաշվեկշռային (մնացորդային)  արժեքը /հազ.դրամ/</t>
  </si>
  <si>
    <t>Մաշվածությունը (%)</t>
  </si>
  <si>
    <t>(ՀՀ ֆինանսների նախարարի 2016թ. հունվարի 8-ի «Հանրային հատվածի կազմակերպություններում նոր հիմնական միջոցների և սկզբնական արժեքով հաշվառվող կենսաբանական ակտիվների մաշվածության հաշվարկման նորմատիվային օգտակար ծառայության ժամկետները հաստատելու մասին» N 3-Ն հրաման, Հավելված 1)</t>
  </si>
  <si>
    <t>Առկա սարքավորումներ և գույք</t>
  </si>
  <si>
    <t xml:space="preserve"> քաղաքացիական (պետական) ծառայողների մասնագիտական վերապատրաստումների գծով ծախսերի</t>
  </si>
  <si>
    <t>Քննչական կոմիտեի ինքնավար պաշտոն զբաղեցնող անձինք</t>
  </si>
  <si>
    <t>այդ թվում թափուր հաստիքների թիվը</t>
  </si>
  <si>
    <t>Նախարար</t>
  </si>
  <si>
    <t>ՀՀ արդարադատության նախարարություն</t>
  </si>
  <si>
    <t>ՀՀ վարչապետի 2018 թ. հունիսի 11-ի  N 706 որոշում</t>
  </si>
  <si>
    <t>Հակակոռուպցիոն քաղաքականության մշակման և մոնիթորինգի վարչություն</t>
  </si>
  <si>
    <t>Քրեական օրենսդրության, քրեակատարողական և պրոբացիայի ոլորտի քաղաքականության մշակման վարչություն</t>
  </si>
  <si>
    <t>Իրավական փոխօգնության վարչություն</t>
  </si>
  <si>
    <t>Միջազգային իրավական համագործակցության վարչություն</t>
  </si>
  <si>
    <t>Իրավական ապահովման վարչություն</t>
  </si>
  <si>
    <t>Վերահսկողական վարչություն</t>
  </si>
  <si>
    <t>Անձնակազմի կառավարման վարչություն</t>
  </si>
  <si>
    <t>Ֆինանսատնտեսագիտական վարչություն</t>
  </si>
  <si>
    <t>Փաստաթղթաշրջանառության ապահովման վարչություն</t>
  </si>
  <si>
    <t>Գնումների կազմակերպման և տնտեսական ապահովման վարչություն</t>
  </si>
  <si>
    <t>Առաջին բաժին</t>
  </si>
  <si>
    <t>Զորահավաքային և քաղաքացիական պաշտպանության բաժին</t>
  </si>
  <si>
    <t>ՔԿԱԳ գործակալություն</t>
  </si>
  <si>
    <t>Իրավական ակտերի փորձաքննության գործակալություն</t>
  </si>
  <si>
    <t>Իրավաբանական  անձանց պետական ռեգիստրի գործակալություն</t>
  </si>
  <si>
    <r>
      <t xml:space="preserve">Հայտատուի  անվանումը    </t>
    </r>
    <r>
      <rPr>
        <u val="single"/>
        <sz val="12"/>
        <rFont val="GHEA Grapalat"/>
        <family val="3"/>
      </rPr>
      <t xml:space="preserve">ՀՀ արդարադատության նախարարություն </t>
    </r>
  </si>
  <si>
    <t>1057</t>
  </si>
  <si>
    <t>Արդարադատության ոլորտում քաղաքականության  մշակում, ծրագրերի համակարգում, խորհրդատվության և մոնիտորինգի իրականացում</t>
  </si>
  <si>
    <t>Արդարադատության ոլորտում քաղաքականության, խորհրդատվության, մոնիտորինգի, գնման և աջակցության իրականացում</t>
  </si>
  <si>
    <t>ՀՀ արդարադատության նախարարության կարողությունների զարգացում և տեխնիկական հագեցվածության ապահովում</t>
  </si>
  <si>
    <t>բյուջեների կատարման մասին ՀՀ օրենսդրությամբ սահմանված դեպքերում վարչական ակտի հիման վրա մատուցված ծառայություններ</t>
  </si>
  <si>
    <t>փոստային ծառայություններ</t>
  </si>
  <si>
    <t>թվային հեռուստատեսություն</t>
  </si>
  <si>
    <t>Երեխայի խնամք 11 աշխ.</t>
  </si>
  <si>
    <t>Երեխայի խնամք 10 աշխ.</t>
  </si>
  <si>
    <t>վերելակ</t>
  </si>
  <si>
    <t>ներքին հեռախոսակայան</t>
  </si>
  <si>
    <t>ջրի պոմպ</t>
  </si>
  <si>
    <t xml:space="preserve"> ք. Երևան,
Կոմիտաս 49/3</t>
  </si>
  <si>
    <t>3001-5000</t>
  </si>
  <si>
    <t>Անիի պետ.ռեգիստր</t>
  </si>
  <si>
    <t>Աշոցքի պետ.ռեգիստր</t>
  </si>
  <si>
    <t>պանելային 
միաձույլ</t>
  </si>
  <si>
    <t>Աշտարակի պետ.ռեգիստր</t>
  </si>
  <si>
    <t>Ապարանի պետ.ռեգիստր</t>
  </si>
  <si>
    <t>Արագածի պետ.ռեգիստր</t>
  </si>
  <si>
    <t>Արարատի Պետ.ռեգիստր</t>
  </si>
  <si>
    <t>Արթիկի պետ.ռեգիստր</t>
  </si>
  <si>
    <t>Արմավիրի պետ.ռեգիստր</t>
  </si>
  <si>
    <t>Արտաշատի պետ.ռեգիստր</t>
  </si>
  <si>
    <t>Ախուրյանի պետ.ռեգիստր</t>
  </si>
  <si>
    <t>Ամասիայի Պետ.ռեգիստր</t>
  </si>
  <si>
    <t>Բաղրամյանի Պետ.ռեգիստր</t>
  </si>
  <si>
    <t>Գյումրիի պետ.ռեգիստր</t>
  </si>
  <si>
    <t>Գորիսի պետ.ռեգիստր</t>
  </si>
  <si>
    <t>Գուգարքի պետ.ռեգիստր</t>
  </si>
  <si>
    <t>Դիլիջանի պետ.ռեգիստր</t>
  </si>
  <si>
    <t>Եղեգնաձորի պետ.ռեգիստր</t>
  </si>
  <si>
    <t>Վաղարշապ.ի պետ.ռեգիստր</t>
  </si>
  <si>
    <t>Թալինի պետ.ռեգիստր</t>
  </si>
  <si>
    <t>Թումանյանի պետ.ռեգիստր</t>
  </si>
  <si>
    <t>Իջևանի պետ.ռեգիստր</t>
  </si>
  <si>
    <t>Գավառի պետ.ռեգիստր</t>
  </si>
  <si>
    <t>Կապանի պետ.ռեգիստր</t>
  </si>
  <si>
    <t>Կոտայքի պետ.ռեգիստր</t>
  </si>
  <si>
    <t>Ճամբարակի պետ.ռեգիստր</t>
  </si>
  <si>
    <t>Հրազդանի պետ.ռեգիստր</t>
  </si>
  <si>
    <t>Մասիսի պետ.ռեգիստր</t>
  </si>
  <si>
    <t>Մարտունու պետ.ռեգիստր</t>
  </si>
  <si>
    <t>Մեղրիի պետ.ռեգիստր</t>
  </si>
  <si>
    <t>Նաիրիի պետ.ռեգիստր</t>
  </si>
  <si>
    <t>Սևանի պետ.ռեգիստր</t>
  </si>
  <si>
    <t>Սիսիանի պետ.ռեգիստր</t>
  </si>
  <si>
    <t>Սպիտակի պետ.ռեգիստր</t>
  </si>
  <si>
    <t>Ստեփանավ.ի պետ.ռեգիստր</t>
  </si>
  <si>
    <t>Վայքի պետ.ռեգիստր</t>
  </si>
  <si>
    <t>Վանաձորի պետ.ռեգիստր</t>
  </si>
  <si>
    <t>Նոյեմբերյ.ի պետ.ռեգիստր</t>
  </si>
  <si>
    <t>Վարդենիսի պետ.ռեգիստր</t>
  </si>
  <si>
    <t>Տաշիրի պետ.ռեգիստր</t>
  </si>
  <si>
    <t>Տավուշի պետ.ռեգիստր</t>
  </si>
  <si>
    <t>ք.Երևան</t>
  </si>
  <si>
    <t>ՀՀ մարզեր</t>
  </si>
  <si>
    <t>Հատուկ սպասարկում</t>
  </si>
  <si>
    <t>Ավտոմեքենա Տոյոտա Camry  2,5</t>
  </si>
  <si>
    <t>Ավտոմեքենա Wolkswagen jetta</t>
  </si>
  <si>
    <t>Ավտոմեքենա Կիա Optima  2,4</t>
  </si>
  <si>
    <t xml:space="preserve">Ավտոմեքենա Hyundai Tucson </t>
  </si>
  <si>
    <t>Ավտոմեքենա Գազ 3110</t>
  </si>
  <si>
    <t>Հերթապահ</t>
  </si>
  <si>
    <t>Հանձնվել է ՀՀ պետական գույքի կառավարման կոմիտեի պահառության տարածք օտարման նպատակով</t>
  </si>
  <si>
    <t>Հայտատուի  անվանումը     ՀՀ արդարադատության նախարարություն</t>
  </si>
  <si>
    <t>1001-1500</t>
  </si>
  <si>
    <t xml:space="preserve">ք. Երևան,  Դավթաշեն 2 թաղամաս, հ.16/3 </t>
  </si>
  <si>
    <t>Գրասեղան (160*70,դիմադիրով)</t>
  </si>
  <si>
    <t>Գրասեղան (160*70,առանց դիմադիր)</t>
  </si>
  <si>
    <t>Գրասեղան  (140*70)</t>
  </si>
  <si>
    <t>Գրապահարան (2 կտորից)</t>
  </si>
  <si>
    <t>Գրպահարան</t>
  </si>
  <si>
    <t>Բազկաթոռ</t>
  </si>
  <si>
    <t>Աթոռ (խորհրդակցական սեղանի)</t>
  </si>
  <si>
    <t>Սեղան ղեկավարի  դիմադիրով</t>
  </si>
  <si>
    <t>Սեղան ղեկավարի  առանց դիմադիրի</t>
  </si>
  <si>
    <t>Գրապահարան (ղեկավարի)</t>
  </si>
  <si>
    <t xml:space="preserve">Խորհրդակցությունների սեղան </t>
  </si>
  <si>
    <t>Լամինատից  սեղան/0.6X0.5X0.75/</t>
  </si>
  <si>
    <t>հատ</t>
  </si>
  <si>
    <t>Սեղան 140*60</t>
  </si>
  <si>
    <t>Մետաղյա պահարան/ Երկաթյա կասսա/</t>
  </si>
  <si>
    <t>Պահարան</t>
  </si>
  <si>
    <t>Սեղան</t>
  </si>
  <si>
    <t>Մետաղյա պահարան</t>
  </si>
  <si>
    <t>Գրասեղան</t>
  </si>
  <si>
    <t>Սեղան ղեկավարի (դիմադիրով)</t>
  </si>
  <si>
    <t>Սեղան համակարգչային</t>
  </si>
  <si>
    <t>Գրասեղան ղեկավարի</t>
  </si>
  <si>
    <t>Գրասեղան (երկու տումբաներով)</t>
  </si>
  <si>
    <t>Չհրկիզվող պահարան</t>
  </si>
  <si>
    <t>Գրապահոց</t>
  </si>
  <si>
    <t xml:space="preserve">Գրասեղան </t>
  </si>
  <si>
    <t>Աթոռ ծալվող սեղանիկով</t>
  </si>
  <si>
    <t>Զգեստապահան և պահարան</t>
  </si>
  <si>
    <t>Բազկաթոռ ղեկավարի</t>
  </si>
  <si>
    <t>Գրասեղան ղեկավարի 1</t>
  </si>
  <si>
    <t>Գրասեղան ղեկավարի 2</t>
  </si>
  <si>
    <t>Սեղան 140x70x75</t>
  </si>
  <si>
    <t xml:space="preserve">Խորհրդակցական սեղան </t>
  </si>
  <si>
    <t>ՕՖ աթոռ C-209</t>
  </si>
  <si>
    <t>Դիմադիր 1,20,8x0,7</t>
  </si>
  <si>
    <t>ՕՖ աթոռ B-216</t>
  </si>
  <si>
    <t>ՕՖ աթոռ B-209</t>
  </si>
  <si>
    <t>Բազկաթոռ մետաղյա կարկասով</t>
  </si>
  <si>
    <t>Երկաթյա  նստարան</t>
  </si>
  <si>
    <t>Նախասրահի կահույք</t>
  </si>
  <si>
    <t>Գրապահարան</t>
  </si>
  <si>
    <t>Բազմոց բազկաթոռներով</t>
  </si>
  <si>
    <t>Աթոռ</t>
  </si>
  <si>
    <t>Զանազան  կահույք</t>
  </si>
  <si>
    <t>Աթոռ աշխատանքային</t>
  </si>
  <si>
    <t>Աթոռ փայտյա</t>
  </si>
  <si>
    <t>Բազկաթոռ կաշվե շարժական</t>
  </si>
  <si>
    <t>Բազկաթոռ համակարգչի</t>
  </si>
  <si>
    <t xml:space="preserve"> Փաստաթղթերի պահման պահարաններ</t>
  </si>
  <si>
    <t>Գրասեղան 1 դիմադիրով և կողադիրով</t>
  </si>
  <si>
    <t>Գրասեղան 2</t>
  </si>
  <si>
    <t>Աթոռ գրասենյակային</t>
  </si>
  <si>
    <t xml:space="preserve">Սեղան, գրասեղան աշխատանքային, գրասենյակային </t>
  </si>
  <si>
    <t>Սեղան, գրասեղան աշխատանքային, գրասենյակային ղեկավարի</t>
  </si>
  <si>
    <t>Կահույք քաղաքացիների ընդ. համար</t>
  </si>
  <si>
    <t>Սեղան վարչության պետի 1800*900*760</t>
  </si>
  <si>
    <t>Սեղան աշխատակցի 1600*680*760</t>
  </si>
  <si>
    <t xml:space="preserve">Սեղան աշխատակցի 1400*680*760 </t>
  </si>
  <si>
    <t>Սեղան աշխատակցի 1200*600*760</t>
  </si>
  <si>
    <t>Սեղան աշխատակցի ՍԱ-1400</t>
  </si>
  <si>
    <t>Գրասեղան ԳՍՓՆ-2000</t>
  </si>
  <si>
    <t>Սեղան խորհրդակցության</t>
  </si>
  <si>
    <t>Սեղան խորհրդակցության ԽՍՆ -3000</t>
  </si>
  <si>
    <t>Մոդել ՀՏԱՆ -1360</t>
  </si>
  <si>
    <t>Լրագրասեղան ԼՍՓՆ -1200</t>
  </si>
  <si>
    <t>Լրագրասեղանհանգստի սենյակի համար</t>
  </si>
  <si>
    <t>Ամսագրային սեղան 1200x 600x430</t>
  </si>
  <si>
    <t>Գզրոց շարժական 2 դարակով ԳԶՇ 2ա</t>
  </si>
  <si>
    <t xml:space="preserve">Գզրոց շարժական 3 քաշքովի դարակով </t>
  </si>
  <si>
    <t>Միակողմանի բաց դարակաշար քայլը` 700</t>
  </si>
  <si>
    <t>Գրապահարան 820*440*2000</t>
  </si>
  <si>
    <t>Գրապահարան 950*420*840</t>
  </si>
  <si>
    <t>Գրապահարան 1220*440*2000</t>
  </si>
  <si>
    <t>Պահարան ԶԳՊՓՆ-2000</t>
  </si>
  <si>
    <t>Գրապահարան / KLAYK/ ԽՊ-2</t>
  </si>
  <si>
    <t>Գրասեղան նախարարի ԳՍՆ-2400/ դիմ.կող./</t>
  </si>
  <si>
    <t>Գրապահարան ԳՊՆ -3700</t>
  </si>
  <si>
    <t>Պահարան ԳՊՆ -3700ց</t>
  </si>
  <si>
    <t>Սեղան խորհրդակցական ԽՍ-9 3000ա,</t>
  </si>
  <si>
    <t>Բազկաթոռ  աշխատակցի ԲԱ-1</t>
  </si>
  <si>
    <t>Բազկաթոռ ղեկավարի ԲՂԴ1 կաշի</t>
  </si>
  <si>
    <t>Բազկաթոռ ղեկավարի ԲՂԴ2 կտոր</t>
  </si>
  <si>
    <t>Բազկաթոռ ղեկավարի ԲՂ1 կաշի</t>
  </si>
  <si>
    <t xml:space="preserve">Բազմոց  հանգստի սենյակի համար
ԱՍՓՆ-2100 կտոր,
 </t>
  </si>
  <si>
    <t xml:space="preserve">Բազկաթոռ  հանգստի սենյակի համար
ԱՍՓՆ-900,
 </t>
  </si>
  <si>
    <t>Բազկաթոռ աշխատակցի / երկ. աթոռ/ ԲԱԽ 1</t>
  </si>
  <si>
    <t>Աթոռ`միջանցքի այցելուի համար / երեք տեղանի/</t>
  </si>
  <si>
    <t>Աթոռ գեղարվեստական</t>
  </si>
  <si>
    <t>Սեղան համակարգչի</t>
  </si>
  <si>
    <t>Աթոռ համակարգչային</t>
  </si>
  <si>
    <t>Գրասեղաններ</t>
  </si>
  <si>
    <t>Գրապահարաններ</t>
  </si>
  <si>
    <t>Մետաղյա հիմքով նախասրահի նստարան</t>
  </si>
  <si>
    <t>Հոլովակավոր աթոռ</t>
  </si>
  <si>
    <t>Արխիվի դարակաշար</t>
  </si>
  <si>
    <t>Ընդունարանի կահույք</t>
  </si>
  <si>
    <t xml:space="preserve"> Գրասեն. գույք /դատաիրավական ծիգ/ </t>
  </si>
  <si>
    <t xml:space="preserve">Նստարան </t>
  </si>
  <si>
    <t>Դարակաշար փոքր</t>
  </si>
  <si>
    <t>Դարակաշար մեծ</t>
  </si>
  <si>
    <t>Հովհանոց</t>
  </si>
  <si>
    <t>Կախիչ</t>
  </si>
  <si>
    <t>Շերտավարագույրներ</t>
  </si>
  <si>
    <t>մ. ք</t>
  </si>
  <si>
    <t>Ուղղորդող ժապավեն</t>
  </si>
  <si>
    <t>լրակազմ</t>
  </si>
  <si>
    <t>Կտրոնի տրամադրման սարք</t>
  </si>
  <si>
    <t xml:space="preserve"> Հեռախոս Yealnik SIP T-23 G</t>
  </si>
  <si>
    <t xml:space="preserve">Ջեռուցիչ 11elements </t>
  </si>
  <si>
    <t>Սառնարան LG GR-T 280 QM</t>
  </si>
  <si>
    <t>Կոնդիցիոներ SAMSUNG AQ 12FBX</t>
  </si>
  <si>
    <t>Կոնդիցիոներ HITACHI RAS/C-ME14HZ</t>
  </si>
  <si>
    <t>Կոնդիցիոներ Sanyo SAPKC
 186 GHMC</t>
  </si>
  <si>
    <t>Փոշեկուլ Panasonic-Mc 7630</t>
  </si>
  <si>
    <t>Փոշեկուլ Hitachi</t>
  </si>
  <si>
    <t>Օդափոխիչ Rheem Air Conditioning
 unit SDMA</t>
  </si>
  <si>
    <t>Հատուկ կապի հեռախոսակայան</t>
  </si>
  <si>
    <t>Ներքին հեռախոսակապ</t>
  </si>
  <si>
    <t>Հատուկ կապի հեռախոսակայան/ քրեակատարողականից/</t>
  </si>
  <si>
    <t>Անվտանգության ազդանշանային համակարգ</t>
  </si>
  <si>
    <t>Տեսահսկման համակարգ</t>
  </si>
  <si>
    <t>Սառնարան և սառցեխցիկ Indezit</t>
  </si>
  <si>
    <t>Ջուրը փափկեցնող սարքեր Benq</t>
  </si>
  <si>
    <t>Օդորակիչ</t>
  </si>
  <si>
    <t>Հեռուստացույց</t>
  </si>
  <si>
    <t>Լուսանկարչական խցիկներ
Canon EOS 1300D/</t>
  </si>
  <si>
    <t xml:space="preserve"> Օդորակիչ Vikass</t>
  </si>
  <si>
    <t>Հեռուստացույց  HISENSE H 49N 2100S</t>
  </si>
  <si>
    <t>Տեսախցիկ</t>
  </si>
  <si>
    <t>Հեռախոս IP Phone YEALINK SIP T-23G</t>
  </si>
  <si>
    <t>Գրասենյակային գույք</t>
  </si>
  <si>
    <t>Գովազդային պաստառներ ամրացման կոնստրուկցիա</t>
  </si>
  <si>
    <t>Տպիչ HP LaserJet 1018</t>
  </si>
  <si>
    <t>Տպիչ Canon LBP 2900</t>
  </si>
  <si>
    <t xml:space="preserve"> Պատճենահանման մեքենա Canon IR 3035 DADF N1</t>
  </si>
  <si>
    <t>Տպիչ LaserJet P2015X</t>
  </si>
  <si>
    <t>Տպիչ LaserJet  5200 DTN</t>
  </si>
  <si>
    <t>Տպիչ HP LaserJet 1022</t>
  </si>
  <si>
    <t>Բազմաֆունկցիոնալ սարք Canon MF -4140</t>
  </si>
  <si>
    <t>Սկաներ  HP 2410</t>
  </si>
  <si>
    <t>Սկաներ HP Scan Jet 5590C</t>
  </si>
  <si>
    <t>Տպիչ HP LaserJet 2015 DN</t>
  </si>
  <si>
    <t>Պատճենահանող մեքենա 
Canon iR3530</t>
  </si>
  <si>
    <t>Պատճենահանող մեքենա UTAX 
CD 1020</t>
  </si>
  <si>
    <t>Տպիչ HP LJ 1160</t>
  </si>
  <si>
    <t>Տպիչ HP LaserJet 1010</t>
  </si>
  <si>
    <t>Տպիչ HP LaserJet 3330mfp</t>
  </si>
  <si>
    <t>Տպիչ Canon 11121E</t>
  </si>
  <si>
    <t>Լազերային տպիչ Lexmark C530dn</t>
  </si>
  <si>
    <t>Սկաներ Epson GT 2500</t>
  </si>
  <si>
    <t>Լազերային տպիչ Lexmark C250d Laser</t>
  </si>
  <si>
    <t>Պատճենահանման  մեքենա 
Canon IR2318</t>
  </si>
  <si>
    <t>Սկաներ XEROX DoCUMATE  3640</t>
  </si>
  <si>
    <t>Սկաներ XEROX DoCUMATE  515+</t>
  </si>
  <si>
    <t>Սկաներ HP Scan Jet 5590C(L 1910A)</t>
  </si>
  <si>
    <t>Բազմաֆունկցիոնալ սարք HP LJ Pro M 1536 dnf</t>
  </si>
  <si>
    <t xml:space="preserve">Տպիչ Canon LBR 2900 </t>
  </si>
  <si>
    <t>Տպիչ Canon LJ LBR 2900</t>
  </si>
  <si>
    <t>Տպիչ սարք բազմաֆունկցիոնալ   2900</t>
  </si>
  <si>
    <t>Սկաներ համակարգչի</t>
  </si>
  <si>
    <t>Տպիչ HP LJ Pro 400M 401DN</t>
  </si>
  <si>
    <t>Սկաներ HP Scanjet 300</t>
  </si>
  <si>
    <t>Տպիչ  Xerox 6700 DN</t>
  </si>
  <si>
    <t>Սկաներ՝HP Scanjet Pro 2500fl Flatbed</t>
  </si>
  <si>
    <t>Սկաներներ</t>
  </si>
  <si>
    <t xml:space="preserve">Լազերային տպիչ </t>
  </si>
  <si>
    <t>Տպիչ HP Lazerjet Pro M 102a</t>
  </si>
  <si>
    <t>Բազմաֆունկցիոնալ սարք Canon MF -231</t>
  </si>
  <si>
    <t>Լազերային տպիչ Canon LBR -7018C</t>
  </si>
  <si>
    <t>Պատճենահանող սարք canon iR 2520</t>
  </si>
  <si>
    <t>Լազերային տպիչ M404N</t>
  </si>
  <si>
    <t>Լազերային տպիչ M203dn</t>
  </si>
  <si>
    <t>Սկաներ Xerox Documate 3220</t>
  </si>
  <si>
    <t>Սկաներ համակարգչի EPSON V 19</t>
  </si>
  <si>
    <t>Տպիչ HP Lazer  Prom 404 dh</t>
  </si>
  <si>
    <t>Մոնիտոր Dell E176FR LCD</t>
  </si>
  <si>
    <t>Մոնիտոր HP/Compaq V7550 17" Flat</t>
  </si>
  <si>
    <t>Մոնիտոր Compaq V7550 17" Flat</t>
  </si>
  <si>
    <r>
      <t>Monitor Dell FP/BL E178 FR European Value 17</t>
    </r>
    <r>
      <rPr>
        <vertAlign val="superscript"/>
        <sz val="10"/>
        <rFont val="GHEA Grapalat"/>
        <family val="3"/>
      </rPr>
      <t xml:space="preserve"> // </t>
    </r>
    <r>
      <rPr>
        <sz val="10"/>
        <rFont val="GHEA Grapalat"/>
        <family val="3"/>
      </rPr>
      <t xml:space="preserve"> Flat Panel Back</t>
    </r>
  </si>
  <si>
    <t>Մոնիտոր BENQ G 900WA</t>
  </si>
  <si>
    <t>Մոնիտոր BeNQ 17/LCD G700A</t>
  </si>
  <si>
    <t>Պրոեկտորներ</t>
  </si>
  <si>
    <t xml:space="preserve">  Համակարգիչ Dell PowerEdge TM  2900 Quad Core Intel... Xeon ... E5335 2x4 MB</t>
  </si>
  <si>
    <t xml:space="preserve"> Համակարգիչ DELL PowerEdge Rack 2410 24U Cabinet Set</t>
  </si>
  <si>
    <t xml:space="preserve"> Համակարգիչ Dell OptiPlex 330DT C2D 2.0,Keyboard, Mouse, Mini Tower, Black, Monitor Dell 17// LCD PC Set</t>
  </si>
  <si>
    <t>Business Monitor Dell LCD DS-240WB 24 inWidescreen Black LCD Monitor</t>
  </si>
  <si>
    <t>Wireless 108G Acces Point D-Link DWL-2100 AP</t>
  </si>
  <si>
    <t>Rack Dell 42U Rack 4210 Base with doors,side panels, ground ship packing, Service Tag doc</t>
  </si>
  <si>
    <t>All-in-One Konica Minolta bizhub C451</t>
  </si>
  <si>
    <r>
      <t xml:space="preserve">Workstation Dell OptiPlex </t>
    </r>
    <r>
      <rPr>
        <vertAlign val="superscript"/>
        <sz val="10"/>
        <rFont val="GHEA Grapalat"/>
        <family val="3"/>
      </rPr>
      <t>TM</t>
    </r>
    <r>
      <rPr>
        <sz val="10"/>
        <rFont val="GHEA Grapalat"/>
        <family val="3"/>
      </rPr>
      <t xml:space="preserve"> 755 Desktop</t>
    </r>
  </si>
  <si>
    <t>Power UPS APC Smart 3000 Rack</t>
  </si>
  <si>
    <t>UPS 2200VA APC</t>
  </si>
  <si>
    <t>UPS 1500VA APC Smart</t>
  </si>
  <si>
    <t>CISCO ASA 5510-BUN-K9</t>
  </si>
  <si>
    <t>Անխափան սնուցման սարք APC 500VA</t>
  </si>
  <si>
    <t>Անխափան սնուցման սարք APC 1000VA Smart</t>
  </si>
  <si>
    <t>БК2500/БК1500</t>
  </si>
  <si>
    <t>Մոդեմ Acorp 56K External USB</t>
  </si>
  <si>
    <t>Անխափան սնուցման սարք UPS PowerCom 600</t>
  </si>
  <si>
    <t>Անխափան սնուցման սարք UPS PowerCom 601</t>
  </si>
  <si>
    <t>Անխափան սնուցման սարք  PowerCom 1500VA</t>
  </si>
  <si>
    <t>Անխափան սնուցման սարք  PowerCom 600VA</t>
  </si>
  <si>
    <t>Անխափան սնուցման սարք  UPS E - pro 1200VA</t>
  </si>
  <si>
    <t>Անխափան սնուցման սարք  UPS E - pro 600VA</t>
  </si>
  <si>
    <t>Անխափան սնուցման սարք  UPS E - pro 1500VA</t>
  </si>
  <si>
    <t xml:space="preserve">Տպիչ Canon </t>
  </si>
  <si>
    <t xml:space="preserve"> Տպիչ Xerox Phazer 6125</t>
  </si>
  <si>
    <t>Ցանցային հանգույց 8պորտ</t>
  </si>
  <si>
    <t>Ցանցային հանգույց 16 պորտ</t>
  </si>
  <si>
    <t>Ցանցային հանգույց 24 պորտ</t>
  </si>
  <si>
    <r>
      <t>Laptop Dell</t>
    </r>
    <r>
      <rPr>
        <vertAlign val="superscript"/>
        <sz val="10"/>
        <rFont val="GHEA Grapalat"/>
        <family val="3"/>
      </rPr>
      <t xml:space="preserve"> TM</t>
    </r>
    <r>
      <rPr>
        <sz val="10"/>
        <rFont val="GHEA Grapalat"/>
        <family val="3"/>
      </rPr>
      <t xml:space="preserve"> Latitude D 830</t>
    </r>
  </si>
  <si>
    <r>
      <t>Server Dell PowerEdge</t>
    </r>
    <r>
      <rPr>
        <vertAlign val="superscript"/>
        <sz val="10"/>
        <rFont val="GHEA Grapalat"/>
        <family val="3"/>
      </rPr>
      <t xml:space="preserve">TM </t>
    </r>
    <r>
      <rPr>
        <sz val="10"/>
        <rFont val="GHEA Grapalat"/>
        <family val="3"/>
      </rPr>
      <t>2900,Rack</t>
    </r>
  </si>
  <si>
    <t>VHS Video Recorder DVD-VHS LG VLK-9320W</t>
  </si>
  <si>
    <t>DVD Recorder Samsung HR 753</t>
  </si>
  <si>
    <t>Photo camera Type "B"</t>
  </si>
  <si>
    <t>Digital Voice recorder Olympus VH-4100PC Digital Recorder</t>
  </si>
  <si>
    <t>Microcasset Te Voice recorder Sony M-470</t>
  </si>
  <si>
    <t>Projection Screen Rollfix Electic Premium Wall Screen 240X180 cm</t>
  </si>
  <si>
    <t>Համակարգիչ ծնկադիր Intel(R)  Pentium (R)Dual CPU 72370@ 1.73 GHz 797MHz</t>
  </si>
  <si>
    <t>Սկաներ Canon Lide 44000 with slide adapter</t>
  </si>
  <si>
    <t>Հեռախոսակայանի քաղաքային գծերի մուտքի տպասալիք</t>
  </si>
  <si>
    <t>Հեռախոսակայանի համարի ներկայացման տպասալիք</t>
  </si>
  <si>
    <t>Սերվերային  համակարգիչ Dell PowerEdge 2900 III  Quad core Intel… Xeon… E5405,2X6MB Cache, 2.0 Ghz,1333FSB</t>
  </si>
  <si>
    <t>Սերվերային  դարակաշար  Dell PowerEdge  Rack 2410 24U Cabinet</t>
  </si>
  <si>
    <t>Switch 24 port 10/100/1000 D-Link</t>
  </si>
  <si>
    <t>Հեռախոս ֆաքս Panasonic KX-FL612CX</t>
  </si>
  <si>
    <t>Համակարգիչ PC Acer Vertion 7200 D Pentium 4</t>
  </si>
  <si>
    <t>Համակարգիչ Dell Optiplex GX280 /լրակազմ/</t>
  </si>
  <si>
    <t>Ֆաքս Panasonic KX -FP362CX</t>
  </si>
  <si>
    <t>Համակարգիչ Core2Duo, E6420/2,13Ghz/Dell Vostro 200լրակազմ/</t>
  </si>
  <si>
    <t>Հեռախոս Panasonic KX-TS  500</t>
  </si>
  <si>
    <t>Համակարգիչ Dell Vostro 200, Dell E197FPf (լրակազմ)</t>
  </si>
  <si>
    <t>Համակարգիչ Dell OptiPlex GX280 (լրակազմ)</t>
  </si>
  <si>
    <t>Սերվերային համակարգիչ HP ProLiant ML370</t>
  </si>
  <si>
    <t>Սերվերային համակարգիչ HP ProLiant ML330</t>
  </si>
  <si>
    <t>Համակարգիչ Compaq EVO D230, Compaq V7550 (լրակազմ)</t>
  </si>
  <si>
    <t>Համակարգիչ Compaq EVO D310</t>
  </si>
  <si>
    <t>Համակարգիչ Compaq EVO D311</t>
  </si>
  <si>
    <t>RAS Digi AsselePort (8 port)</t>
  </si>
  <si>
    <t>Համակարգիչ</t>
  </si>
  <si>
    <t>Սերվեր ծրագիր</t>
  </si>
  <si>
    <t>Սերվեր ծրագրի Օրակլի տվյալների բազա</t>
  </si>
  <si>
    <t>Ցանցային սվիչD-LinkDES-1016D</t>
  </si>
  <si>
    <t>Սերվեր2PCServerE8200INTELDG35EC, RAM 2x2GB,HDD 320 GB DVD-RW, KB, Mouse opt, Preinstalled Windows XP prof</t>
  </si>
  <si>
    <t>ՀամակարգիչPCE4600INTELDG31PR, RAM 1GB,HDD 160GB DVD-RW, KB, Mouse opt, Speaker,microphon,Preinstalled Windows XP prof</t>
  </si>
  <si>
    <t>Սերվերի ծրագիր Database Microsoft SQL Server 2008 Standard Edition</t>
  </si>
  <si>
    <t xml:space="preserve">Ծրագրի արտոնագիր  Database Access Licenses Microsoft SQL Server 2008 Client
Access Licenses </t>
  </si>
  <si>
    <t xml:space="preserve">Սերվեր1INTEL 2xXeon E 5405, MB SupermicoXDGA-3, RAM EGG 2x4GB ,HDD SAS 4x146GB DVD-W, KB, Mouse opt, </t>
  </si>
  <si>
    <t>Սերվերի ծրագիր Server operating system</t>
  </si>
  <si>
    <t>ՀամակարգիչPCE4600INTELDG31PR, RAM 1GB,HDD 160GB DVD-RW, KB, Mpuse opt, Speaker,microphon,Preinstalled Windows XP prof</t>
  </si>
  <si>
    <t>Սերվերի ծրագիր Server Acces Licenses</t>
  </si>
  <si>
    <t xml:space="preserve">Սերվեր1INTEL 2xXeon E 5405, MB SupermicoXDGA-3, RAM EGG 2x4GB ,HDD SAS 4x146GB DVD-W, KB, Mpuse opt, </t>
  </si>
  <si>
    <t>Հեռախոս  ֆաքս Panasonic KX-FL 612 CX</t>
  </si>
  <si>
    <t>Էլեկտրոնային ցուցատախտակ</t>
  </si>
  <si>
    <t>Կոշտ Սկավառակ Barracuda ES2 500Gb SAS</t>
  </si>
  <si>
    <t>Տպասալիկ RAM ECC IGB Power Edge 2900</t>
  </si>
  <si>
    <t>Սնուցման բլոկ Power Edge 2900 HOT Swap</t>
  </si>
  <si>
    <t>Server Type 2 Fujitsu Primergy RX 300S6</t>
  </si>
  <si>
    <t>Server Type1 Fujitsu Primergy RX 300S7</t>
  </si>
  <si>
    <t>Պահարան սերվերի լրակազմով Rack
 Cabinet Fujistu 42U</t>
  </si>
  <si>
    <t xml:space="preserve">Desktop Computer FUJITSU Esprimo E 3521 </t>
  </si>
  <si>
    <t>APC Smart UPS 5000 VA R/T 5U</t>
  </si>
  <si>
    <t>Switch D-Link DGS-1210 24/E</t>
  </si>
  <si>
    <t>Module optical D-Link DEM-310 GT</t>
  </si>
  <si>
    <t>Սեղանադիր համակարգիչ DELL Optiplex 780MT, Dual Core E 5700 3,0</t>
  </si>
  <si>
    <t>Համակարգիչ Dual Core 2,8Ghz</t>
  </si>
  <si>
    <t>Համակարգիչ 1 HDC 24j CN-OHV341-48643
-8B1-2213</t>
  </si>
  <si>
    <t>Server Type 1 Fujitsu Primergy RX300S6</t>
  </si>
  <si>
    <t>Ցանցային սարք D-Link DAP 1360</t>
  </si>
  <si>
    <t>Նոութբուք Corei 5, 15,6  կոմպ, մկնիկ,պայուսակ</t>
  </si>
  <si>
    <t>Digital Court recording System SRS Femida/ 
voice, recording hardware, workstation,
 monitor,  printer,ups</t>
  </si>
  <si>
    <t>Սերվեր DELL POWEREDGE R 1810</t>
  </si>
  <si>
    <t>Դյուրակիր համակարգիչ</t>
  </si>
  <si>
    <t xml:space="preserve">Համակարգիչ մոնիտորով HP 2012G1 CPU </t>
  </si>
  <si>
    <t>Անձնական համակարգիչ</t>
  </si>
  <si>
    <t>Պլանշետային համակարգիչ</t>
  </si>
  <si>
    <t>RB1100AHx2ուղղորդիչ</t>
  </si>
  <si>
    <t>Սնուցման մարտկոց</t>
  </si>
  <si>
    <t>Համակարգիչ /Fujitsu P410/</t>
  </si>
  <si>
    <t xml:space="preserve">Ֆաքսի ապարատ </t>
  </si>
  <si>
    <t>Տեսաձայնագրիչ</t>
  </si>
  <si>
    <t xml:space="preserve"> Համակարգիչ Core i3 / ամբողջը մեկում/</t>
  </si>
  <si>
    <t>Սերվեր Dell PowerEDGE
 R6302xE52603V3/4x2TB/4x4GB</t>
  </si>
  <si>
    <t>Տվյալների պահպանման կոշտ սարք
 սկավառակով DeLL PowerVauletMd122022x146GB</t>
  </si>
  <si>
    <t>Շարժական գույքի նկատմամբ ապահովված իրավունքների ռեգիստրի միասնական համակարգ</t>
  </si>
  <si>
    <t>Անխափան սնուցման աղբյուր UPS
 APC SUA 5000RMI5U</t>
  </si>
  <si>
    <t>Տեսախցիկ գունավոր</t>
  </si>
  <si>
    <t>Հեռախոս ֆաքս Panasonic 
FX-FR 362CX</t>
  </si>
  <si>
    <t>Համակարգիչ՝HP Desktop Core i3 4160</t>
  </si>
  <si>
    <t>Անխափան սնուցման սարք PowerComRPT 600VA</t>
  </si>
  <si>
    <t>Սեղանի համակարգիչներ/ Dell Vostro 3667 intell Corei3/</t>
  </si>
  <si>
    <t>Հեռախոսային սարքեր</t>
  </si>
  <si>
    <t>Անխափան սնուցման սարք UPS
 /MAXMA</t>
  </si>
  <si>
    <t xml:space="preserve"> Սեղանի համակարգիչ /Cooper Master/</t>
  </si>
  <si>
    <t>Թվային տեսաձայնագրիչ</t>
  </si>
  <si>
    <t>Դյուրակիր համակարգիչ Lenovo V 310</t>
  </si>
  <si>
    <t>Համակարգիչ Dell 3280</t>
  </si>
  <si>
    <t>Համակարգչային կոնֆիգուրացիա</t>
  </si>
  <si>
    <t>Գրանշանների ճանաչման սարք</t>
  </si>
  <si>
    <t xml:space="preserve"> Համ. Տեխնիկա /դատաիրավական ծիգ/</t>
  </si>
  <si>
    <t>Սվիչ պոյե</t>
  </si>
  <si>
    <t>Համակարգիչ ամբողջը մեկում HP 200
 AIO 22G 4</t>
  </si>
  <si>
    <t>GPIK օպտիկայի միացնող սարք</t>
  </si>
  <si>
    <t>Կառավարման և հսկման համակարգ</t>
  </si>
  <si>
    <t>Հեռախոս  Panasonic KX-T 7636</t>
  </si>
  <si>
    <t>Հեռախոս  Panasonic KX-T 7630</t>
  </si>
  <si>
    <t>Հեռախոս Panasonic KX-T 7640</t>
  </si>
  <si>
    <t>Հեռախոս  Panasonic KX-T 7633</t>
  </si>
  <si>
    <t>Հեռախոս Panasonic KX-T7633</t>
  </si>
  <si>
    <t>Խմելու ջրի ապարաը</t>
  </si>
  <si>
    <t>Համակարգչային տեխնիկա</t>
  </si>
  <si>
    <t>Համակարգիչ HP 200 All in one</t>
  </si>
  <si>
    <t>UPS APC BX 650LU</t>
  </si>
  <si>
    <t>Հրեպատ (ա) USG20-vpn, S/N: S162L34400169</t>
  </si>
  <si>
    <t>Սերվեր, HP DL180 Gen9 8LFF Server, HP DVDRW Drive</t>
  </si>
  <si>
    <t>Համակարգիչ ամբողջը մեկում IdeaCentre  AIO 3
 24111.5 Lenovo</t>
  </si>
  <si>
    <t>Դյուրակիր համակարգիչ HP Probook 450 G8 UMA i5 1135G7 450 G8</t>
  </si>
  <si>
    <t>Լազերային տպիչ HP LaserJet Pro MFP M428 fdn</t>
  </si>
  <si>
    <t>Սկաներ Epson WorkForce Ds 1680</t>
  </si>
  <si>
    <t xml:space="preserve"> «ՀՀ 2022  թվականի պետական   բյուջեի  մասին»,  «Կուտակային կենսաթոշակների մասին»,   «Պետական պաշտոններ և պետական ծառայության պաշտոններ զբաղեցնող անձանց վարձատրության մասին»  ՀՀ օրենքներ, ՀՀ վարչապետի 2018 թ. հունիսի 11-ի  N 706, ՀՀ կառավարության 2014 թ. հուլիսի 3-ի  N 737-Ն, ՀՀ կառավարության 2017 թ.հուլիսի 14-ի  N 670-Ն  որոշումներ</t>
  </si>
  <si>
    <t>Հաշվարկը կատարվել է  ՀՀ կառավարության 28.04.2005թ.  թիվ 629-Ն  որոշմամբ հաստատված նորմաներին համապատասխան</t>
  </si>
  <si>
    <r>
      <t>1.</t>
    </r>
    <r>
      <rPr>
        <sz val="7"/>
        <rFont val="Times New Roman"/>
        <family val="1"/>
      </rPr>
      <t xml:space="preserve">   </t>
    </r>
    <r>
      <rPr>
        <sz val="10"/>
        <rFont val="GHEA Grapalat"/>
        <family val="3"/>
      </rPr>
      <t>ՀՀ հանրային ծառայությունները կարգավորող հանձնաժողովի  2018 թվականի նոյեմբերի 28-ի ««ՎԵՈԼԻԱ ՋՈՒՐ» փակ բաժնետիրական ընկերության կողմից խմելու ջրի մատակարարման և ջրահեռացման (կեղտաջրերի մաքրման) ծառայությունների մատուցման սակագները սահմանելու և ՀՀ հանրային ծառայությունները կարգավորող հանձնաժողովի 2017 թ. նոյեմբերի 22-ի N 499-Ն որոշումն ուժը կորցրած ճանաչելու մասին» N 434-Ն որոշում,</t>
    </r>
  </si>
  <si>
    <t xml:space="preserve"> ՀՀ կառավարության  30.12.2004թ. թիվ 1956-Ն որոշմամբ հաստատված նորմաներ և ՀՀ կառավարության 2004թ. սեպտեմբերի 23-ի թիվ 1536-Ն որոշում:</t>
  </si>
  <si>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GHEA Grapalat"/>
        <family val="3"/>
      </rPr>
      <t>«Ավտոտրանսպորտային միջոցների օգտագործումից բխող պատասխանատվության պարտադիր ապահովագրության մասին» ՀՀ օրենք:</t>
    </r>
  </si>
  <si>
    <t xml:space="preserve">Գործուղումների  և շրջագայությունների  ծախսերի հաշվարկները կատարվել են  ՀՀ կառավարության 2005 թվականի դեկտեմբերի 29-ի թիվ 2335-Ն որոշման համաձայն: </t>
  </si>
  <si>
    <t xml:space="preserve">ՀՀ միջազգային պայմանագրերով, մասնավորապես`«Երեխաների միջազգային առևանգման մոտեցումների մասին» 1980թ., «Երեխաներիպաշտպանության և օտարերկրյա որդեգրման բնագավառում համագործակցության մասին» 1993թ. Հաագայի և «Քաղաքացիական, ընտանեկան և քրեական գործերով իրավական օգնության և իրավական հարաբերությունների մասին» 1993թ.  Մինսկի և 1998թ. Քիշնևի Կոնվենցիաներով ստանձնած պարտավորությունները կատարելու նպատակով անհրաժեշտություն է առաջանում   կատարել փաստաթղթերի` քաղաքացիական կացության ակտերի, որդեգրած երեխաների անձնական քարտերի, զեկույցների,այլ փաստաթղթեր 
 թարգմանություններ։ Բացի այդ, անհրաժեշտություն է առաջանում իրականացնել  Եվրոպական դատարանի կողմից Հայաստանի Հանրապետության  դեմ  ներկայացրած գանգատների վերաբերյալ կայացված վճիռների և որոշումների  թարգմանություններ,
ինչպես նաև  տվյալների կառավարման ծառայություններ: 
 </t>
  </si>
  <si>
    <t>Հակահրդեհային ծառայությունների իրականացում</t>
  </si>
  <si>
    <t xml:space="preserve">ՀՀ կառավարության 2005 թ. փետրվարի 17-ի «Հայաստանի Հանրապետությանպետական մարմինների ծառայողական ավտոմեքենաների  հատկացման, շահագործման և սպասարկման մասին» N 194-Ն որոշում:
</t>
  </si>
  <si>
    <t xml:space="preserve">ՀՀ վարչապետի 2017թ.  փետրվարի 28-իթիվ 02/41.2/4479-17 հանձնարարական, Տնտեսական համագործակցության և զարգացման կազմակերպության /ՏՀԶԿ/  և Հայաստանի Հանրապետության ու մի շարք պետությունների միջև հակակոռուպցիոն ցանցին ֆինանսական աջակցություն տրամադրելու վերաբերյալ հուշագիր / հուշագրի 2-րդ կետ՝ անդամավճարների տարեկան չափը 10.000 եվրո  /: </t>
  </si>
  <si>
    <t>Նախարարության աշխատակազմին հատկացված  ավտոմեքենաների տեխ. զննման, աղբահանության և այլ պարտադիր վճարների համար</t>
  </si>
  <si>
    <t>Ստեփանավանի պետ. ռեգիստր</t>
  </si>
  <si>
    <t>ք. Ստեփանավան, Միլիոնի 70</t>
  </si>
  <si>
    <t>վարձակալության պայմանագիր</t>
  </si>
  <si>
    <t>Գորիսի պետ. ռեգիստր</t>
  </si>
  <si>
    <t>Ք. Գորիս, Մաշտոցի 3</t>
  </si>
  <si>
    <t>ՀՀ Ստեփանավան քաղաքային համայնք</t>
  </si>
  <si>
    <t>ՀՀ Սյունիքի մարզի Գորիսի համայնքապետարանի աշխատակազմ</t>
  </si>
  <si>
    <t>Իրավաբանական անձանց պետական ռեգիստրի գործակալության
Գորիսի  և Ստեփանավանի տարածքային բաժինների ոչ բնակելի 
տարածքներ վարձակալելու  նպատակով կնքված  պայմանագրերի համաձայն:Իրավաբանական անձանց պետական ռեգիստրի գործակալության Մասիսի տարածքային բաժինն իր գործունեությունը մինչ այժմ ծավալել է  Մասիսի քաղաքապետարանի շենքում, որոնք  տարածքի համար գումարի պահանջ են ներկայացնում ամսական 15.0 հազ. դրամ:</t>
  </si>
  <si>
    <t>ներքին աուդիտի ծառայություններ</t>
  </si>
  <si>
    <t>էլեկտրականության բաշխում</t>
  </si>
  <si>
    <t>գազի բաշխում</t>
  </si>
  <si>
    <t>խմելու ջրի բաշխում</t>
  </si>
  <si>
    <t>ախտահանման ― մակաբույծների ոչնչացման ծառայություններ</t>
  </si>
  <si>
    <t>ներքին փոստային ― սուրհանդակային ծառայություններ</t>
  </si>
  <si>
    <t>միջքաղաքային հեռախոսային ծառայություններ</t>
  </si>
  <si>
    <t>փոխադրամիջոցների հետ կապված ապահովագրական ծառայություններ</t>
  </si>
  <si>
    <t>ոչ բնակելի անշարժ գույքի վարձակալության կամ լիզինգի ծառայություններ</t>
  </si>
  <si>
    <t>գրավոր թարգմանության ծառայություններ</t>
  </si>
  <si>
    <t>տվյալների կառավարման ծառայություններ</t>
  </si>
  <si>
    <t>Շարժական գույքի նկատմամբ ապահովված իրավունքների ռեգիստրի և գործընթացների ավտոմատացված կառավարման միասնական էլեկտրոնային համակարգի  սպասարկման ծառայություններ</t>
  </si>
  <si>
    <t>համակարգչային տեխնիկայի կառավարման ծառայություններ համակարգչային համակարգերի սպասարկման համար</t>
  </si>
  <si>
    <t>/«Mulberry 2.0»  էլեկտրոնային փաստա-թղթաշրջանառության համակարգի տեխնիկական սպասարկման ծառայություններ</t>
  </si>
  <si>
    <t>ՀՀ արդարադատության նախարարության պաշտոնական կայքի ծրագրային ապահովման սպասարկման ծառայություններ</t>
  </si>
  <si>
    <t>համակարգչային արխիվացման ծառայություններ</t>
  </si>
  <si>
    <t>Ticket dispenser terminal՝ հերթերի կառավարման համակարգի ծրագրային ապահովման սպասարկման ծառայություններ</t>
  </si>
  <si>
    <t>«www.e-register.am», «www.e-civil.am», «www.e-apostille.am», «www.e-verify.am», «www.ehealth.am», e-draft.am և azdararir.am էլեկտրոնային համակարգերի  սպասարկման ծառայություններ</t>
  </si>
  <si>
    <t>ՀԾ-Ձեռնարկություն հաշվապահական ծրագրային համակարգի սպասարկման ծառայություններ</t>
  </si>
  <si>
    <t>համակարգչային տեխնիկայի կառավարման ծառայություններ համակարգչային համակարգերի սպասարկման համար/թեժ գիծ/</t>
  </si>
  <si>
    <t>Աշխատակիցների մասնագիտական 
զարգացման ծառայություններ</t>
  </si>
  <si>
    <t>Աշխատակիցների վերապատրաստման ծառայություններ</t>
  </si>
  <si>
    <t>թերթեր</t>
  </si>
  <si>
    <t>թերթերում հայտարարությունների տպագրման ծառայություն</t>
  </si>
  <si>
    <t>պատվերով տպագրվող նյութեր</t>
  </si>
  <si>
    <t>Ներկայացուցչական ծախսեր</t>
  </si>
  <si>
    <t>ներկայացուցչական ծառայություններ</t>
  </si>
  <si>
    <t>արխիվացման ծառայություններ</t>
  </si>
  <si>
    <t>գույքագրման ծառայություններ</t>
  </si>
  <si>
    <t>տեղեկատվության մշաման սարքերի տեղադրման ծառայություններ</t>
  </si>
  <si>
    <t>գնահատման հետ կապված խորհրդատվական ծառայություններ</t>
  </si>
  <si>
    <t>հակահրդեհային ծառայություններ</t>
  </si>
  <si>
    <t>ավտոմեքենաների վերանորոգման ծառայություններ</t>
  </si>
  <si>
    <t>շենքերում տեղակայված էլեկտրական սարքերի վերանորոգման ― պահպանման ծառայություններ</t>
  </si>
  <si>
    <t>էլեկտրական սարքերի վերանորոգման  ծառայություններ</t>
  </si>
  <si>
    <t>ամրակ, մեծ</t>
  </si>
  <si>
    <t>ամրակ, միջին</t>
  </si>
  <si>
    <t>ապակարիչ</t>
  </si>
  <si>
    <t>գծանշիչ</t>
  </si>
  <si>
    <t>գրիչ գելային</t>
  </si>
  <si>
    <t>գրիչ գնդիկավոր</t>
  </si>
  <si>
    <t>դակիչ միջին</t>
  </si>
  <si>
    <t>դատարկ սկավառակ, առանց տուփի, CD</t>
  </si>
  <si>
    <t>թանաք, կնիքի բարձիկի համար</t>
  </si>
  <si>
    <t>թանաքի բարձիկներ</t>
  </si>
  <si>
    <t>թղթապանակ, արագակար, թղթյա</t>
  </si>
  <si>
    <t>թղթապանակ, թելով, թղթյա</t>
  </si>
  <si>
    <t>թղթապանակ, կոշտ կազմով</t>
  </si>
  <si>
    <t>թղթապանակ, պոլիմերային թաղանթ, ֆայլ</t>
  </si>
  <si>
    <t>թուղթ, A4 ֆորմատի</t>
  </si>
  <si>
    <t>ինքնակպչուն թուղթ, A4</t>
  </si>
  <si>
    <t>ծրար (Eurostandard)</t>
  </si>
  <si>
    <t>կարիչ, 20-50 թերթի համար</t>
  </si>
  <si>
    <t>կարիչ, 50-ից ավելի թերթի համար</t>
  </si>
  <si>
    <t>կարիչ, մինչ― 20 թերթի համար</t>
  </si>
  <si>
    <t>կարիչի մետաղալարե կապեր, մեծ</t>
  </si>
  <si>
    <t>կարիչի մետաղալարե կապեր, միջին</t>
  </si>
  <si>
    <t>կարիչի մետաղալարե կապեր, փոքր</t>
  </si>
  <si>
    <t>հաշվասարք, գրասենյակային</t>
  </si>
  <si>
    <t>մալուխ համակարգչի, UTP cable 6 level</t>
  </si>
  <si>
    <t>մատիտներ</t>
  </si>
  <si>
    <t>մկնիկ, համակարգչային, լարով</t>
  </si>
  <si>
    <t>նոթատետրեր</t>
  </si>
  <si>
    <t>շտրիխներ</t>
  </si>
  <si>
    <t>պոլիմերային ինքնակպչուն ժապավեն, 19մմx36մ գրասենյակային, փոքր</t>
  </si>
  <si>
    <t>պոլիմերային ինքնակպչուն ժապավեն, 48մմx100մ տնտեսական, մեծ</t>
  </si>
  <si>
    <t>ռետին հասարակ</t>
  </si>
  <si>
    <t>սեղմակ, մեծ</t>
  </si>
  <si>
    <t>սեղմակ, միջին</t>
  </si>
  <si>
    <t>սեղմակ, փոքր</t>
  </si>
  <si>
    <t>սոսնձամատիտ, գրասենյակային</t>
  </si>
  <si>
    <t>սոսնձապատված կամ կպչուն թուղթ</t>
  </si>
  <si>
    <t>տոներային քարտրիջներ</t>
  </si>
  <si>
    <t>տվյալների ― ձայնի կրիչներ</t>
  </si>
  <si>
    <t>ցուցանակներ եւ հարակից առարկաներ</t>
  </si>
  <si>
    <t>ֆլեշ հիշողություն, 32GB</t>
  </si>
  <si>
    <t>ֆլեշ հիշողություն, 8GB</t>
  </si>
  <si>
    <t>բենզին, պրեմիում</t>
  </si>
  <si>
    <t>բենզին, ռեգուլյար</t>
  </si>
  <si>
    <t>անվասայլակների անվադողեր</t>
  </si>
  <si>
    <t>Կենցաղային և հանրային սննդի նյութեր</t>
  </si>
  <si>
    <t>ապակի մաքրելու միջոց</t>
  </si>
  <si>
    <t>ավելներ</t>
  </si>
  <si>
    <t>գոգաթիակ, աղբը հավաքելու համար, ձողով</t>
  </si>
  <si>
    <t>դույլ պլաստմասե</t>
  </si>
  <si>
    <t>դռան փականի միջուկ</t>
  </si>
  <si>
    <t>դռան փականներ</t>
  </si>
  <si>
    <t>զուգարանի թուղթ, ռուլոնով</t>
  </si>
  <si>
    <t>զուգարանների մաքրման նյութեր</t>
  </si>
  <si>
    <t>էլեկտրական լամպեր</t>
  </si>
  <si>
    <t>թափոնների ― աղբի տարաներ ― աղբամաններ</t>
  </si>
  <si>
    <t>խոզանակ-սպունգ ապակի մաքրելու համար, ռետինե</t>
  </si>
  <si>
    <t>ծալվող աստիճաններ</t>
  </si>
  <si>
    <t>կախիչներ</t>
  </si>
  <si>
    <t>կահույքի փայլեցման միջոց</t>
  </si>
  <si>
    <t>հատակ մաքրելու ձող, պլաստմասե, փայտյա</t>
  </si>
  <si>
    <t>հատակի մաքրման նյութեր</t>
  </si>
  <si>
    <t>ձեռնոցներ</t>
  </si>
  <si>
    <t>մաքրող կտորներ</t>
  </si>
  <si>
    <t>պոլիէթիլենային պարկ, աղբի համար</t>
  </si>
  <si>
    <t>ջրի ծորակ, 2 փականով</t>
  </si>
  <si>
    <t>սպասքի լվացման դետերգենտներ</t>
  </si>
  <si>
    <t>սպասքի լվացման փոշի</t>
  </si>
  <si>
    <t>փայլեցնող կտորներ</t>
  </si>
  <si>
    <t>օճառ, հեղուկ</t>
  </si>
  <si>
    <t>դռան բռնակ</t>
  </si>
  <si>
    <t>գործիքների հավաքածու</t>
  </si>
  <si>
    <t>պտուտակահան</t>
  </si>
  <si>
    <t>գայլիկոն</t>
  </si>
  <si>
    <t>գրասենյակում օգտագործվող սայլակներ</t>
  </si>
  <si>
    <t>Համակարգիչ ամբողջը մեկում</t>
  </si>
  <si>
    <t>Կինոխցիկներ</t>
  </si>
  <si>
    <t>Կտորից պայուսակներ</t>
  </si>
  <si>
    <t>Եռոտանի (շտատիվ)</t>
  </si>
  <si>
    <t>Օպերատիվ հիշողության քարտեր (վերազինում, տեղադրում)</t>
  </si>
  <si>
    <t>Մարտկոցների լիցքավորիչներ</t>
  </si>
  <si>
    <t>Մարտկոց, AA տեսակի</t>
  </si>
  <si>
    <t>Լուսարձակներ</t>
  </si>
  <si>
    <t>Հատակադիր լամպեր</t>
  </si>
  <si>
    <t>Խոսափողներ</t>
  </si>
  <si>
    <t>Ֆոտոնկարահանման խցիկ</t>
  </si>
  <si>
    <t>Իմպուլսային լամպեր</t>
  </si>
  <si>
    <t>Գունավոր տպիչներ</t>
  </si>
  <si>
    <t>Բազմաֆունկցիոնալ սարք՝ լազերային</t>
  </si>
  <si>
    <t>Սկաներներ համակարգիչների համար</t>
  </si>
  <si>
    <t>Անխափան սնուցման աղբյուրներ</t>
  </si>
  <si>
    <t>Սվիչ</t>
  </si>
  <si>
    <t>Սառնարան-սառցարաններ</t>
  </si>
  <si>
    <t>Սեղան՝ ղեկավարի</t>
  </si>
  <si>
    <t>Գզրոցներ</t>
  </si>
  <si>
    <t xml:space="preserve">Բազկաթոռ, շարժական </t>
  </si>
  <si>
    <t>Աթոռ մետաղյա</t>
  </si>
  <si>
    <t>Փաստաթղթերի ոչնչացման սարքեր</t>
  </si>
  <si>
    <t xml:space="preserve">ՀՀ արդարադատության նախարարություն </t>
  </si>
  <si>
    <t xml:space="preserve">   «Mulberry» փաստաթղթաշրջանառության  էլեկտրոնային համակարգի սպասարկման  ընկերությունը իրականացնում է  ՀՀ ԱՆ իրավաբանական անձանց պետական ռեգիստրի և ՀՀ ԱՆ ՔԿԱԳ գործակալության էլեկտրոնային կառավարման համակարգերի ընթացիկ սպասարկում, արդիականացում և շահագործում:  Ընկերությունը  2018 թվականից դադարեցրել է համակարգի սպասարկումն իրականացնել անվճար:  
   Այս հոդվածով նախատեսված է    ՔԿԱԳ տարածքային բաժինների համակարգչային սպասարկման , ՀՀ ԱՆ մարդկային ռեսուրսների կառավարման տեղեկատվական համակարգի /ՄՌԿՏՀ/ սպասարկման, ինչպես նաև՝ ՀՀ ԱՆ շարժական գույքի նկատմամբ ապահովված  իրավունքների գրանցման էլեկտրոնային ծրագրի, հաշվապահական ՀԾ համակարգչային ծրագրի, հերթերի կառավարման էլեկտրոնային համակարգի սպասարկման   համար անհրաժեշտ  գումարները: 
  «www.e-register.am», «www.e-civil.am», «www.e-apostille.am», «www.e-verify.am», «www.ehealth.am», e-draft.am և azdararir.am էլեկտրոնային համակարգերի սպասարկում, թեժ գծի սպասարկում:
</t>
  </si>
  <si>
    <t xml:space="preserve">ՀՀ կառավարության 2005 թ. փետրվարի 17-ի «Հայաստանի Հանրապետությանպետական մարմինների ծառայողական ավտոմեքենաների  հատկացման, շահագործման և սպասարկման մասին» N 194-Ն որոշման համաձայն նախատեսված է  10  ավտոմեքենա, սակայն օպտիմալացման շրջանակներում նախատեսվում է  2023-2025թթ. ունենալ 1 ծառայողական  և 3 սպասարկող մեքենաներ, որի հաշվարկով  էլ նախատեսվել է ծախսը 
</t>
  </si>
  <si>
    <t>Գումարն անհրաժեշտ է նախարարության համար անհրաժեշտ վարչական սարքավորումներ ձեռքբերելու նպատակով, ցանկը նշված է պահանջվող ձևաչափում</t>
  </si>
  <si>
    <t>Լրացուցիչ  7000.0 հազ․ դրամ նախատեսվել է  գույքագրման ծառայություններ ձեռք բերելու նպատակով, բացի դրանից 11530.0 հազ․ դրամ գումար նախատեսվել է ներքին աուդիտի և տեղեկատվության մշաման սարքերի տեղադրման ծառայություններ և գնահատման հետ կապված խորհրդատվական ծառայություններ</t>
  </si>
  <si>
    <t>Գումարն անհրաժեշտ է նախարարության համար անհրաժեշտ գույք ձեռքբերելու նպատակով, ցանկը նշված է պահանջվող ձևաչափում</t>
  </si>
  <si>
    <t>ՀՀ ԱՐԴԱՐԱԴԱՏՈՒԹՅԱՆ ՆԱԽԱՐԱՐՈՒԹՅՈՒՆ</t>
  </si>
  <si>
    <t>ՀՀ  Սահմանադրություն</t>
  </si>
  <si>
    <t>Աշխատանքային օրենսդրություն</t>
  </si>
  <si>
    <t>Քաղաքացիական ծառայության մասին ՀՀ օրենսդրություն</t>
  </si>
  <si>
    <t>Հանրային ծառայության մասին ՀՀ օրենսդրություն</t>
  </si>
  <si>
    <t>Մարդկային ռեսուրսների կառավարում</t>
  </si>
  <si>
    <t>Միջազգային հարաբերություններ և դիվանագիտություն</t>
  </si>
  <si>
    <t>Ֆինանսաբյուջետային քաղաքականություն</t>
  </si>
  <si>
    <t>Իրավական ակտերի նախապատրասրում</t>
  </si>
  <si>
    <t>Վարչական և մասնագիտական հսկողության կազմակերպում</t>
  </si>
  <si>
    <t>Փաստաթղթաշրջանառություն(գործավարություն,արխիվային գործ)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</si>
</sst>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֏&quot;;\-#,##0\ &quot;֏&quot;"/>
    <numFmt numFmtId="165" formatCode="#,##0\ &quot;֏&quot;;[Red]\-#,##0\ &quot;֏&quot;"/>
    <numFmt numFmtId="166" formatCode="#,##0.00\ &quot;֏&quot;;\-#,##0.00\ &quot;֏&quot;"/>
    <numFmt numFmtId="167" formatCode="#,##0.00\ &quot;֏&quot;;[Red]\-#,##0.00\ &quot;֏&quot;"/>
    <numFmt numFmtId="168" formatCode="_-* #,##0\ &quot;֏&quot;_-;\-* #,##0\ &quot;֏&quot;_-;_-* &quot;-&quot;\ &quot;֏&quot;_-;_-@_-"/>
    <numFmt numFmtId="169" formatCode="_-* #,##0\ _֏_-;\-* #,##0\ _֏_-;_-* &quot;-&quot;\ _֏_-;_-@_-"/>
    <numFmt numFmtId="170" formatCode="_-* #,##0.00\ &quot;֏&quot;_-;\-* #,##0.00\ &quot;֏&quot;_-;_-* &quot;-&quot;??\ &quot;֏&quot;_-;_-@_-"/>
    <numFmt numFmtId="171" formatCode="_-* #,##0.00\ _֏_-;\-* #,##0.00\ _֏_-;_-* &quot;-&quot;??\ _֏_-;_-@_-"/>
    <numFmt numFmtId="172" formatCode="&quot; &quot;#,##0_);\(&quot; &quot;#,##0\)"/>
    <numFmt numFmtId="173" formatCode="&quot; &quot;#,##0_);[Red]\(&quot; &quot;#,##0\)"/>
    <numFmt numFmtId="174" formatCode="&quot; &quot;#,##0.00_);\(&quot; &quot;#,##0.00\)"/>
    <numFmt numFmtId="175" formatCode="&quot; &quot;#,##0.00_);[Red]\(&quot; &quot;#,##0.00\)"/>
    <numFmt numFmtId="176" formatCode="_(&quot; &quot;* #,##0_);_(&quot; &quot;* \(#,##0\);_(&quot; &quot;* &quot;-&quot;_);_(@_)"/>
    <numFmt numFmtId="177" formatCode="_(&quot; &quot;* #,##0.00_);_(&quot; &quot;* \(#,##0.00\);_(&quot; &quot;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0.0"/>
    <numFmt numFmtId="187" formatCode="0.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,##0.0"/>
    <numFmt numFmtId="197" formatCode="_(* #,##0.0_);_(* \(#,##0.0\);_(* &quot;-&quot;??_);_(@_)"/>
    <numFmt numFmtId="198" formatCode="_-* #,##0.0_-;\-* #,##0.0_-;_-* &quot;-&quot;??_-;_-@_-"/>
    <numFmt numFmtId="199" formatCode="_-* #,##0_-;\-* #,##0_-;_-* &quot;-&quot;??_-;_-@_-"/>
    <numFmt numFmtId="200" formatCode="0.00000"/>
    <numFmt numFmtId="201" formatCode="0.0000"/>
    <numFmt numFmtId="202" formatCode="0.0%"/>
    <numFmt numFmtId="203" formatCode="#,##0.0_);[Red]\(#,##0.0\)"/>
    <numFmt numFmtId="204" formatCode="#,##0;[Red]#,##0"/>
  </numFmts>
  <fonts count="12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.5"/>
      <name val="GHEA Grapalat"/>
      <family val="3"/>
    </font>
    <font>
      <b/>
      <sz val="12"/>
      <color indexed="10"/>
      <name val="GHEA Grapalat"/>
      <family val="3"/>
    </font>
    <font>
      <b/>
      <sz val="11"/>
      <color indexed="10"/>
      <name val="GHEA Grapalat"/>
      <family val="3"/>
    </font>
    <font>
      <b/>
      <sz val="8"/>
      <name val="GHEA Grapalat"/>
      <family val="3"/>
    </font>
    <font>
      <sz val="10"/>
      <name val="GHEA Grapalat"/>
      <family val="3"/>
    </font>
    <font>
      <u val="single"/>
      <sz val="10"/>
      <name val="GHEA Grapalat"/>
      <family val="3"/>
    </font>
    <font>
      <sz val="12"/>
      <name val="GHEA Grapalat"/>
      <family val="3"/>
    </font>
    <font>
      <b/>
      <sz val="10"/>
      <name val="GHEA Grapalat"/>
      <family val="3"/>
    </font>
    <font>
      <sz val="8"/>
      <name val="GHEA Grapalat"/>
      <family val="3"/>
    </font>
    <font>
      <sz val="9"/>
      <name val="GHEA Grapalat"/>
      <family val="3"/>
    </font>
    <font>
      <b/>
      <i/>
      <u val="single"/>
      <sz val="10"/>
      <name val="GHEA Grapalat"/>
      <family val="3"/>
    </font>
    <font>
      <sz val="10"/>
      <color indexed="8"/>
      <name val="GHEA Grapalat"/>
      <family val="3"/>
    </font>
    <font>
      <i/>
      <sz val="10"/>
      <name val="GHEA Grapalat"/>
      <family val="3"/>
    </font>
    <font>
      <i/>
      <sz val="8"/>
      <name val="GHEA Grapalat"/>
      <family val="3"/>
    </font>
    <font>
      <b/>
      <i/>
      <sz val="8"/>
      <name val="GHEA Grapalat"/>
      <family val="3"/>
    </font>
    <font>
      <i/>
      <sz val="10"/>
      <color indexed="10"/>
      <name val="GHEA Grapalat"/>
      <family val="3"/>
    </font>
    <font>
      <sz val="10"/>
      <color indexed="10"/>
      <name val="GHEA Grapalat"/>
      <family val="3"/>
    </font>
    <font>
      <b/>
      <sz val="9"/>
      <name val="GHEA Grapalat"/>
      <family val="3"/>
    </font>
    <font>
      <b/>
      <sz val="11"/>
      <name val="GHEA Grapalat"/>
      <family val="3"/>
    </font>
    <font>
      <sz val="11"/>
      <name val="GHEA Grapalat"/>
      <family val="3"/>
    </font>
    <font>
      <b/>
      <i/>
      <sz val="10"/>
      <name val="GHEA Grapalat"/>
      <family val="3"/>
    </font>
    <font>
      <b/>
      <sz val="10"/>
      <color indexed="23"/>
      <name val="GHEA Grapalat"/>
      <family val="3"/>
    </font>
    <font>
      <b/>
      <sz val="10"/>
      <color indexed="12"/>
      <name val="GHEA Grapalat"/>
      <family val="3"/>
    </font>
    <font>
      <sz val="9"/>
      <color indexed="8"/>
      <name val="GHEA Grapalat"/>
      <family val="3"/>
    </font>
    <font>
      <sz val="8"/>
      <color indexed="8"/>
      <name val="GHEA Grapalat"/>
      <family val="3"/>
    </font>
    <font>
      <u val="single"/>
      <sz val="8"/>
      <name val="GHEA Grapalat"/>
      <family val="3"/>
    </font>
    <font>
      <b/>
      <i/>
      <sz val="10"/>
      <color indexed="8"/>
      <name val="GHEA Grapalat"/>
      <family val="3"/>
    </font>
    <font>
      <b/>
      <sz val="10"/>
      <color indexed="8"/>
      <name val="GHEA Grapalat"/>
      <family val="3"/>
    </font>
    <font>
      <u val="single"/>
      <sz val="12"/>
      <name val="GHEA Grapalat"/>
      <family val="3"/>
    </font>
    <font>
      <b/>
      <sz val="12"/>
      <name val="GHEA Grapalat"/>
      <family val="3"/>
    </font>
    <font>
      <b/>
      <i/>
      <sz val="9"/>
      <name val="GHEA Grapalat"/>
      <family val="3"/>
    </font>
    <font>
      <i/>
      <sz val="9"/>
      <name val="GHEA Grapalat"/>
      <family val="3"/>
    </font>
    <font>
      <b/>
      <sz val="8"/>
      <color indexed="10"/>
      <name val="GHEA Grapalat"/>
      <family val="3"/>
    </font>
    <font>
      <b/>
      <sz val="10"/>
      <color indexed="10"/>
      <name val="GHEA Grapalat"/>
      <family val="3"/>
    </font>
    <font>
      <b/>
      <sz val="8"/>
      <color indexed="8"/>
      <name val="GHEA Grapalat"/>
      <family val="3"/>
    </font>
    <font>
      <b/>
      <i/>
      <sz val="10"/>
      <color indexed="10"/>
      <name val="GHEA Grapalat"/>
      <family val="3"/>
    </font>
    <font>
      <sz val="9"/>
      <color indexed="8"/>
      <name val="Arial Unicode"/>
      <family val="2"/>
    </font>
    <font>
      <sz val="8"/>
      <color indexed="10"/>
      <name val="GHEA Grapalat"/>
      <family val="3"/>
    </font>
    <font>
      <b/>
      <u val="single"/>
      <sz val="10"/>
      <name val="GHEA Grapalat"/>
      <family val="3"/>
    </font>
    <font>
      <b/>
      <sz val="9"/>
      <color indexed="10"/>
      <name val="GHEA Grapalat"/>
      <family val="3"/>
    </font>
    <font>
      <i/>
      <sz val="12"/>
      <name val="GHEA Grapalat"/>
      <family val="3"/>
    </font>
    <font>
      <sz val="8"/>
      <color indexed="56"/>
      <name val="GHEA Grapalat"/>
      <family val="3"/>
    </font>
    <font>
      <sz val="10"/>
      <color indexed="56"/>
      <name val="GHEA Grapalat"/>
      <family val="3"/>
    </font>
    <font>
      <i/>
      <sz val="10"/>
      <color indexed="56"/>
      <name val="GHEA Grapalat"/>
      <family val="3"/>
    </font>
    <font>
      <b/>
      <sz val="10"/>
      <color indexed="56"/>
      <name val="GHEA Grapalat"/>
      <family val="3"/>
    </font>
    <font>
      <u val="single"/>
      <sz val="9"/>
      <name val="GHEA Grapalat"/>
      <family val="3"/>
    </font>
    <font>
      <u val="single"/>
      <sz val="11"/>
      <name val="GHEA Grapalat"/>
      <family val="3"/>
    </font>
    <font>
      <sz val="10"/>
      <name val="Arial Armenian"/>
      <family val="2"/>
    </font>
    <font>
      <sz val="10"/>
      <color indexed="8"/>
      <name val="MS Sans Serif"/>
      <family val="2"/>
    </font>
    <font>
      <sz val="10"/>
      <name val="Times Armenian"/>
      <family val="1"/>
    </font>
    <font>
      <sz val="9"/>
      <name val="GHEA Mariam"/>
      <family val="3"/>
    </font>
    <font>
      <i/>
      <sz val="11"/>
      <name val="GHEA Grapalat"/>
      <family val="3"/>
    </font>
    <font>
      <sz val="12"/>
      <color indexed="8"/>
      <name val="GHEA Grapalat"/>
      <family val="3"/>
    </font>
    <font>
      <b/>
      <i/>
      <sz val="9"/>
      <color indexed="10"/>
      <name val="GHEA Grapalat"/>
      <family val="3"/>
    </font>
    <font>
      <sz val="11"/>
      <color indexed="8"/>
      <name val="GHEA Grapalat"/>
      <family val="3"/>
    </font>
    <font>
      <b/>
      <sz val="11"/>
      <color indexed="8"/>
      <name val="GHEA Grapalat"/>
      <family val="3"/>
    </font>
    <font>
      <b/>
      <sz val="9"/>
      <name val="Tahoma"/>
      <family val="2"/>
    </font>
    <font>
      <sz val="9"/>
      <name val="Tahoma"/>
      <family val="2"/>
    </font>
    <font>
      <b/>
      <u val="single"/>
      <sz val="12"/>
      <name val="GHEA Grapalat"/>
      <family val="3"/>
    </font>
    <font>
      <vertAlign val="superscript"/>
      <sz val="10"/>
      <name val="GHEA Grapalat"/>
      <family val="3"/>
    </font>
    <font>
      <sz val="7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 Armenian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9"/>
      <color indexed="10"/>
      <name val="GHEA Grapalat"/>
      <family val="3"/>
    </font>
    <font>
      <sz val="10"/>
      <color indexed="8"/>
      <name val="GHEA Mariam"/>
      <family val="3"/>
    </font>
    <font>
      <sz val="10"/>
      <color indexed="8"/>
      <name val="Arial Unicode"/>
      <family val="2"/>
    </font>
    <font>
      <i/>
      <sz val="10"/>
      <color indexed="8"/>
      <name val="GHEA Grapala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 Armeni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GHEA Grapalat"/>
      <family val="3"/>
    </font>
    <font>
      <b/>
      <sz val="12"/>
      <color rgb="FFFF0000"/>
      <name val="GHEA Grapalat"/>
      <family val="3"/>
    </font>
    <font>
      <b/>
      <sz val="8"/>
      <color rgb="FFFF0000"/>
      <name val="GHEA Grapalat"/>
      <family val="3"/>
    </font>
    <font>
      <sz val="9"/>
      <color rgb="FFFF0000"/>
      <name val="GHEA Grapalat"/>
      <family val="3"/>
    </font>
    <font>
      <sz val="10"/>
      <color theme="1"/>
      <name val="GHEA Grapalat"/>
      <family val="3"/>
    </font>
    <font>
      <sz val="8"/>
      <color theme="1"/>
      <name val="GHEA Grapalat"/>
      <family val="3"/>
    </font>
    <font>
      <b/>
      <sz val="11"/>
      <color rgb="FFFF0000"/>
      <name val="GHEA Grapalat"/>
      <family val="3"/>
    </font>
    <font>
      <b/>
      <sz val="10"/>
      <color theme="1"/>
      <name val="GHEA Grapalat"/>
      <family val="3"/>
    </font>
    <font>
      <b/>
      <sz val="9"/>
      <color rgb="FFFF0000"/>
      <name val="GHEA Grapalat"/>
      <family val="3"/>
    </font>
    <font>
      <sz val="10"/>
      <color rgb="FF000000"/>
      <name val="GHEA Mariam"/>
      <family val="3"/>
    </font>
    <font>
      <b/>
      <sz val="10"/>
      <color rgb="FFFF0000"/>
      <name val="GHEA Grapalat"/>
      <family val="3"/>
    </font>
    <font>
      <sz val="11"/>
      <color theme="1"/>
      <name val="GHEA Grapalat"/>
      <family val="3"/>
    </font>
    <font>
      <sz val="11"/>
      <color rgb="FF000000"/>
      <name val="GHEA Grapalat"/>
      <family val="3"/>
    </font>
    <font>
      <b/>
      <sz val="11"/>
      <color rgb="FF000000"/>
      <name val="GHEA Grapalat"/>
      <family val="3"/>
    </font>
    <font>
      <b/>
      <i/>
      <sz val="10"/>
      <color theme="1"/>
      <name val="GHEA Grapalat"/>
      <family val="3"/>
    </font>
    <font>
      <sz val="10"/>
      <color rgb="FF000000"/>
      <name val="GHEA Grapalat"/>
      <family val="3"/>
    </font>
    <font>
      <sz val="9"/>
      <color theme="1"/>
      <name val="GHEA Grapalat"/>
      <family val="3"/>
    </font>
    <font>
      <sz val="10"/>
      <color rgb="FF000000"/>
      <name val="Arial Unicode"/>
      <family val="2"/>
    </font>
    <font>
      <i/>
      <sz val="10"/>
      <color theme="1"/>
      <name val="GHEA Grapalat"/>
      <family val="3"/>
    </font>
    <font>
      <b/>
      <sz val="8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1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0" fillId="2" borderId="0" applyNumberFormat="0" applyBorder="0" applyAlignment="0" applyProtection="0"/>
    <xf numFmtId="0" fontId="90" fillId="3" borderId="0" applyNumberFormat="0" applyBorder="0" applyAlignment="0" applyProtection="0"/>
    <xf numFmtId="0" fontId="90" fillId="4" borderId="0" applyNumberFormat="0" applyBorder="0" applyAlignment="0" applyProtection="0"/>
    <xf numFmtId="0" fontId="90" fillId="5" borderId="0" applyNumberFormat="0" applyBorder="0" applyAlignment="0" applyProtection="0"/>
    <xf numFmtId="0" fontId="90" fillId="6" borderId="0" applyNumberFormat="0" applyBorder="0" applyAlignment="0" applyProtection="0"/>
    <xf numFmtId="0" fontId="90" fillId="7" borderId="0" applyNumberFormat="0" applyBorder="0" applyAlignment="0" applyProtection="0"/>
    <xf numFmtId="0" fontId="90" fillId="8" borderId="0" applyNumberFormat="0" applyBorder="0" applyAlignment="0" applyProtection="0"/>
    <xf numFmtId="0" fontId="90" fillId="9" borderId="0" applyNumberFormat="0" applyBorder="0" applyAlignment="0" applyProtection="0"/>
    <xf numFmtId="0" fontId="90" fillId="10" borderId="0" applyNumberFormat="0" applyBorder="0" applyAlignment="0" applyProtection="0"/>
    <xf numFmtId="0" fontId="90" fillId="11" borderId="0" applyNumberFormat="0" applyBorder="0" applyAlignment="0" applyProtection="0"/>
    <xf numFmtId="0" fontId="90" fillId="12" borderId="0" applyNumberFormat="0" applyBorder="0" applyAlignment="0" applyProtection="0"/>
    <xf numFmtId="0" fontId="90" fillId="13" borderId="0" applyNumberFormat="0" applyBorder="0" applyAlignment="0" applyProtection="0"/>
    <xf numFmtId="0" fontId="91" fillId="14" borderId="0" applyNumberFormat="0" applyBorder="0" applyAlignment="0" applyProtection="0"/>
    <xf numFmtId="0" fontId="91" fillId="15" borderId="0" applyNumberFormat="0" applyBorder="0" applyAlignment="0" applyProtection="0"/>
    <xf numFmtId="0" fontId="91" fillId="16" borderId="0" applyNumberFormat="0" applyBorder="0" applyAlignment="0" applyProtection="0"/>
    <xf numFmtId="0" fontId="91" fillId="17" borderId="0" applyNumberFormat="0" applyBorder="0" applyAlignment="0" applyProtection="0"/>
    <xf numFmtId="0" fontId="91" fillId="18" borderId="0" applyNumberFormat="0" applyBorder="0" applyAlignment="0" applyProtection="0"/>
    <xf numFmtId="0" fontId="91" fillId="19" borderId="0" applyNumberFormat="0" applyBorder="0" applyAlignment="0" applyProtection="0"/>
    <xf numFmtId="0" fontId="91" fillId="20" borderId="0" applyNumberFormat="0" applyBorder="0" applyAlignment="0" applyProtection="0"/>
    <xf numFmtId="0" fontId="91" fillId="21" borderId="0" applyNumberFormat="0" applyBorder="0" applyAlignment="0" applyProtection="0"/>
    <xf numFmtId="0" fontId="91" fillId="22" borderId="0" applyNumberFormat="0" applyBorder="0" applyAlignment="0" applyProtection="0"/>
    <xf numFmtId="0" fontId="91" fillId="23" borderId="0" applyNumberFormat="0" applyBorder="0" applyAlignment="0" applyProtection="0"/>
    <xf numFmtId="0" fontId="91" fillId="24" borderId="0" applyNumberFormat="0" applyBorder="0" applyAlignment="0" applyProtection="0"/>
    <xf numFmtId="0" fontId="91" fillId="25" borderId="0" applyNumberFormat="0" applyBorder="0" applyAlignment="0" applyProtection="0"/>
    <xf numFmtId="0" fontId="92" fillId="26" borderId="0" applyNumberFormat="0" applyBorder="0" applyAlignment="0" applyProtection="0"/>
    <xf numFmtId="0" fontId="93" fillId="27" borderId="1" applyNumberFormat="0" applyAlignment="0" applyProtection="0"/>
    <xf numFmtId="0" fontId="9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0" fillId="0" borderId="0" applyFont="0" applyFill="0" applyBorder="0" applyAlignment="0" applyProtection="0"/>
    <xf numFmtId="185" fontId="54" fillId="0" borderId="0" applyFont="0" applyFill="0" applyBorder="0" applyAlignment="0" applyProtection="0"/>
    <xf numFmtId="185" fontId="5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5" fontId="54" fillId="0" borderId="0" applyFont="0" applyFill="0" applyBorder="0" applyAlignment="0" applyProtection="0"/>
    <xf numFmtId="185" fontId="5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5" fontId="5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5" fontId="5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6" fillId="29" borderId="0" applyNumberFormat="0" applyBorder="0" applyAlignment="0" applyProtection="0"/>
    <xf numFmtId="0" fontId="97" fillId="0" borderId="3" applyNumberFormat="0" applyFill="0" applyAlignment="0" applyProtection="0"/>
    <xf numFmtId="0" fontId="98" fillId="0" borderId="4" applyNumberFormat="0" applyFill="0" applyAlignment="0" applyProtection="0"/>
    <xf numFmtId="0" fontId="99" fillId="0" borderId="5" applyNumberFormat="0" applyFill="0" applyAlignment="0" applyProtection="0"/>
    <xf numFmtId="0" fontId="9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0" fillId="30" borderId="1" applyNumberFormat="0" applyAlignment="0" applyProtection="0"/>
    <xf numFmtId="0" fontId="101" fillId="0" borderId="6" applyNumberFormat="0" applyFill="0" applyAlignment="0" applyProtection="0"/>
    <xf numFmtId="0" fontId="102" fillId="31" borderId="0" applyNumberFormat="0" applyBorder="0" applyAlignment="0" applyProtection="0"/>
    <xf numFmtId="0" fontId="56" fillId="0" borderId="0">
      <alignment/>
      <protection/>
    </xf>
    <xf numFmtId="0" fontId="54" fillId="0" borderId="0">
      <alignment/>
      <protection/>
    </xf>
    <xf numFmtId="0" fontId="103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55" fillId="0" borderId="0">
      <alignment/>
      <protection/>
    </xf>
    <xf numFmtId="0" fontId="0" fillId="32" borderId="7" applyNumberFormat="0" applyFont="0" applyAlignment="0" applyProtection="0"/>
    <xf numFmtId="0" fontId="10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105" fillId="0" borderId="0" applyNumberFormat="0" applyFill="0" applyBorder="0" applyAlignment="0" applyProtection="0"/>
    <xf numFmtId="0" fontId="106" fillId="0" borderId="9" applyNumberFormat="0" applyFill="0" applyAlignment="0" applyProtection="0"/>
    <xf numFmtId="0" fontId="10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43" fontId="0" fillId="0" borderId="0" applyFont="0" applyFill="0" applyBorder="0" applyAlignment="0" applyProtection="0"/>
    <xf numFmtId="43" fontId="56" fillId="0" borderId="0" applyFont="0" applyFill="0" applyBorder="0" applyAlignment="0" applyProtection="0"/>
    <xf numFmtId="185" fontId="54" fillId="0" borderId="0" applyFont="0" applyFill="0" applyBorder="0" applyAlignment="0" applyProtection="0"/>
    <xf numFmtId="185" fontId="54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988">
    <xf numFmtId="0" fontId="0" fillId="0" borderId="0" xfId="0" applyAlignment="1">
      <alignment/>
    </xf>
    <xf numFmtId="0" fontId="8" fillId="33" borderId="0" xfId="0" applyFont="1" applyFill="1" applyBorder="1" applyAlignment="1">
      <alignment horizontal="center" wrapText="1"/>
    </xf>
    <xf numFmtId="0" fontId="9" fillId="33" borderId="0" xfId="0" applyFont="1" applyFill="1" applyBorder="1" applyAlignment="1">
      <alignment horizontal="center" wrapText="1"/>
    </xf>
    <xf numFmtId="0" fontId="10" fillId="33" borderId="0" xfId="0" applyFont="1" applyFill="1" applyBorder="1" applyAlignment="1">
      <alignment horizontal="centerContinuous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2" fillId="33" borderId="0" xfId="0" applyFont="1" applyFill="1" applyBorder="1" applyAlignment="1">
      <alignment horizontal="left" wrapText="1"/>
    </xf>
    <xf numFmtId="0" fontId="14" fillId="33" borderId="10" xfId="0" applyFont="1" applyFill="1" applyBorder="1" applyAlignment="1">
      <alignment horizontal="centerContinuous" wrapText="1"/>
    </xf>
    <xf numFmtId="0" fontId="10" fillId="33" borderId="10" xfId="0" applyFont="1" applyFill="1" applyBorder="1" applyAlignment="1">
      <alignment horizontal="centerContinuous" wrapText="1"/>
    </xf>
    <xf numFmtId="0" fontId="11" fillId="33" borderId="0" xfId="0" applyFont="1" applyFill="1" applyBorder="1" applyAlignment="1">
      <alignment horizontal="centerContinuous" wrapText="1"/>
    </xf>
    <xf numFmtId="0" fontId="11" fillId="33" borderId="0" xfId="0" applyFont="1" applyFill="1" applyBorder="1" applyAlignment="1">
      <alignment horizontal="center" wrapText="1"/>
    </xf>
    <xf numFmtId="0" fontId="11" fillId="0" borderId="11" xfId="0" applyFont="1" applyBorder="1" applyAlignment="1">
      <alignment wrapText="1"/>
    </xf>
    <xf numFmtId="0" fontId="11" fillId="0" borderId="11" xfId="0" applyFont="1" applyBorder="1" applyAlignment="1">
      <alignment horizontal="center" wrapText="1"/>
    </xf>
    <xf numFmtId="0" fontId="11" fillId="0" borderId="11" xfId="0" applyFont="1" applyBorder="1" applyAlignment="1">
      <alignment horizontal="centerContinuous" wrapText="1"/>
    </xf>
    <xf numFmtId="0" fontId="15" fillId="0" borderId="11" xfId="0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0" fontId="11" fillId="0" borderId="11" xfId="0" applyFont="1" applyFill="1" applyBorder="1" applyAlignment="1">
      <alignment wrapText="1"/>
    </xf>
    <xf numFmtId="0" fontId="14" fillId="0" borderId="11" xfId="0" applyFont="1" applyFill="1" applyBorder="1" applyAlignment="1">
      <alignment wrapText="1"/>
    </xf>
    <xf numFmtId="186" fontId="11" fillId="0" borderId="11" xfId="0" applyNumberFormat="1" applyFont="1" applyFill="1" applyBorder="1" applyAlignment="1">
      <alignment horizontal="center" wrapText="1"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0" fontId="14" fillId="0" borderId="11" xfId="0" applyFont="1" applyBorder="1" applyAlignment="1">
      <alignment wrapText="1"/>
    </xf>
    <xf numFmtId="0" fontId="11" fillId="33" borderId="0" xfId="0" applyFont="1" applyFill="1" applyBorder="1" applyAlignment="1">
      <alignment horizontal="centerContinuous"/>
    </xf>
    <xf numFmtId="0" fontId="12" fillId="33" borderId="10" xfId="0" applyFont="1" applyFill="1" applyBorder="1" applyAlignment="1">
      <alignment horizontal="left" wrapText="1"/>
    </xf>
    <xf numFmtId="0" fontId="14" fillId="33" borderId="0" xfId="0" applyFont="1" applyFill="1" applyBorder="1" applyAlignment="1">
      <alignment horizontal="centerContinuous" wrapText="1"/>
    </xf>
    <xf numFmtId="0" fontId="16" fillId="0" borderId="11" xfId="0" applyFont="1" applyBorder="1" applyAlignment="1">
      <alignment horizontal="center" wrapText="1"/>
    </xf>
    <xf numFmtId="0" fontId="11" fillId="0" borderId="11" xfId="0" applyFont="1" applyFill="1" applyBorder="1" applyAlignment="1">
      <alignment horizontal="center" wrapText="1"/>
    </xf>
    <xf numFmtId="186" fontId="14" fillId="34" borderId="11" xfId="0" applyNumberFormat="1" applyFont="1" applyFill="1" applyBorder="1" applyAlignment="1">
      <alignment horizontal="center" wrapText="1"/>
    </xf>
    <xf numFmtId="0" fontId="14" fillId="34" borderId="0" xfId="0" applyFont="1" applyFill="1" applyAlignment="1">
      <alignment/>
    </xf>
    <xf numFmtId="0" fontId="14" fillId="33" borderId="11" xfId="0" applyFont="1" applyFill="1" applyBorder="1" applyAlignment="1">
      <alignment wrapText="1"/>
    </xf>
    <xf numFmtId="0" fontId="11" fillId="33" borderId="11" xfId="0" applyFont="1" applyFill="1" applyBorder="1" applyAlignment="1">
      <alignment horizontal="center" wrapText="1"/>
    </xf>
    <xf numFmtId="0" fontId="11" fillId="33" borderId="0" xfId="0" applyFont="1" applyFill="1" applyAlignment="1">
      <alignment horizontal="center"/>
    </xf>
    <xf numFmtId="0" fontId="11" fillId="33" borderId="0" xfId="0" applyFont="1" applyFill="1" applyAlignment="1">
      <alignment/>
    </xf>
    <xf numFmtId="0" fontId="14" fillId="33" borderId="0" xfId="0" applyFont="1" applyFill="1" applyAlignment="1">
      <alignment horizontal="center"/>
    </xf>
    <xf numFmtId="0" fontId="14" fillId="33" borderId="0" xfId="0" applyFont="1" applyFill="1" applyAlignment="1">
      <alignment/>
    </xf>
    <xf numFmtId="0" fontId="15" fillId="33" borderId="0" xfId="0" applyFont="1" applyFill="1" applyBorder="1" applyAlignment="1">
      <alignment horizontal="center" wrapText="1"/>
    </xf>
    <xf numFmtId="0" fontId="15" fillId="0" borderId="0" xfId="0" applyFont="1" applyBorder="1" applyAlignment="1">
      <alignment/>
    </xf>
    <xf numFmtId="0" fontId="17" fillId="34" borderId="11" xfId="0" applyFont="1" applyFill="1" applyBorder="1" applyAlignment="1">
      <alignment wrapText="1"/>
    </xf>
    <xf numFmtId="186" fontId="14" fillId="33" borderId="11" xfId="0" applyNumberFormat="1" applyFont="1" applyFill="1" applyBorder="1" applyAlignment="1">
      <alignment horizontal="center" wrapText="1"/>
    </xf>
    <xf numFmtId="0" fontId="14" fillId="33" borderId="0" xfId="0" applyFont="1" applyFill="1" applyBorder="1" applyAlignment="1">
      <alignment horizontal="center" wrapText="1"/>
    </xf>
    <xf numFmtId="0" fontId="19" fillId="0" borderId="0" xfId="0" applyFont="1" applyAlignment="1">
      <alignment horizontal="center"/>
    </xf>
    <xf numFmtId="0" fontId="18" fillId="0" borderId="0" xfId="0" applyFont="1" applyAlignment="1">
      <alignment/>
    </xf>
    <xf numFmtId="0" fontId="15" fillId="33" borderId="0" xfId="0" applyFont="1" applyFill="1" applyAlignment="1">
      <alignment horizontal="center"/>
    </xf>
    <xf numFmtId="0" fontId="15" fillId="33" borderId="0" xfId="0" applyFont="1" applyFill="1" applyAlignment="1">
      <alignment horizontal="centerContinuous" wrapText="1"/>
    </xf>
    <xf numFmtId="0" fontId="15" fillId="33" borderId="0" xfId="0" applyFont="1" applyFill="1" applyAlignment="1">
      <alignment horizontal="centerContinuous"/>
    </xf>
    <xf numFmtId="0" fontId="20" fillId="33" borderId="0" xfId="0" applyFont="1" applyFill="1" applyAlignment="1">
      <alignment horizontal="centerContinuous"/>
    </xf>
    <xf numFmtId="186" fontId="15" fillId="33" borderId="0" xfId="0" applyNumberFormat="1" applyFont="1" applyFill="1" applyAlignment="1">
      <alignment horizontal="center"/>
    </xf>
    <xf numFmtId="0" fontId="15" fillId="33" borderId="0" xfId="0" applyFont="1" applyFill="1" applyAlignment="1">
      <alignment wrapText="1"/>
    </xf>
    <xf numFmtId="0" fontId="20" fillId="33" borderId="0" xfId="0" applyFont="1" applyFill="1" applyAlignment="1">
      <alignment horizontal="center"/>
    </xf>
    <xf numFmtId="0" fontId="15" fillId="33" borderId="0" xfId="0" applyFont="1" applyFill="1" applyAlignment="1">
      <alignment/>
    </xf>
    <xf numFmtId="0" fontId="15" fillId="33" borderId="12" xfId="0" applyFont="1" applyFill="1" applyBorder="1" applyAlignment="1">
      <alignment horizontal="center"/>
    </xf>
    <xf numFmtId="1" fontId="14" fillId="33" borderId="12" xfId="0" applyNumberFormat="1" applyFont="1" applyFill="1" applyBorder="1" applyAlignment="1">
      <alignment horizontal="center"/>
    </xf>
    <xf numFmtId="0" fontId="15" fillId="33" borderId="12" xfId="0" applyFont="1" applyFill="1" applyBorder="1" applyAlignment="1">
      <alignment wrapText="1"/>
    </xf>
    <xf numFmtId="0" fontId="15" fillId="0" borderId="13" xfId="0" applyFont="1" applyBorder="1" applyAlignment="1">
      <alignment horizontal="centerContinuous" wrapText="1"/>
    </xf>
    <xf numFmtId="0" fontId="15" fillId="0" borderId="14" xfId="0" applyFont="1" applyBorder="1" applyAlignment="1">
      <alignment horizontal="centerContinuous" wrapText="1"/>
    </xf>
    <xf numFmtId="0" fontId="15" fillId="0" borderId="15" xfId="0" applyFont="1" applyBorder="1" applyAlignment="1">
      <alignment horizontal="centerContinuous" wrapText="1"/>
    </xf>
    <xf numFmtId="0" fontId="15" fillId="0" borderId="13" xfId="0" applyFont="1" applyBorder="1" applyAlignment="1">
      <alignment horizontal="centerContinuous"/>
    </xf>
    <xf numFmtId="0" fontId="20" fillId="0" borderId="14" xfId="0" applyFont="1" applyBorder="1" applyAlignment="1">
      <alignment horizontal="centerContinuous"/>
    </xf>
    <xf numFmtId="0" fontId="15" fillId="0" borderId="14" xfId="0" applyFont="1" applyBorder="1" applyAlignment="1">
      <alignment horizontal="centerContinuous"/>
    </xf>
    <xf numFmtId="0" fontId="15" fillId="0" borderId="15" xfId="0" applyFont="1" applyBorder="1" applyAlignment="1">
      <alignment horizontal="centerContinuous"/>
    </xf>
    <xf numFmtId="0" fontId="11" fillId="33" borderId="16" xfId="0" applyFont="1" applyFill="1" applyBorder="1" applyAlignment="1">
      <alignment horizontal="center"/>
    </xf>
    <xf numFmtId="0" fontId="16" fillId="33" borderId="16" xfId="0" applyFont="1" applyFill="1" applyBorder="1" applyAlignment="1">
      <alignment wrapText="1"/>
    </xf>
    <xf numFmtId="0" fontId="15" fillId="33" borderId="16" xfId="0" applyFont="1" applyFill="1" applyBorder="1" applyAlignment="1">
      <alignment horizontal="center" wrapText="1"/>
    </xf>
    <xf numFmtId="0" fontId="15" fillId="0" borderId="11" xfId="0" applyFont="1" applyBorder="1" applyAlignment="1">
      <alignment horizontal="centerContinuous" wrapText="1"/>
    </xf>
    <xf numFmtId="0" fontId="15" fillId="33" borderId="11" xfId="0" applyFont="1" applyFill="1" applyBorder="1" applyAlignment="1">
      <alignment horizontal="center" wrapText="1"/>
    </xf>
    <xf numFmtId="0" fontId="15" fillId="33" borderId="17" xfId="0" applyFont="1" applyFill="1" applyBorder="1" applyAlignment="1">
      <alignment horizontal="center" wrapText="1"/>
    </xf>
    <xf numFmtId="0" fontId="21" fillId="33" borderId="17" xfId="0" applyFont="1" applyFill="1" applyBorder="1" applyAlignment="1">
      <alignment horizontal="center" wrapText="1"/>
    </xf>
    <xf numFmtId="0" fontId="15" fillId="0" borderId="17" xfId="0" applyFont="1" applyBorder="1" applyAlignment="1">
      <alignment horizontal="center" wrapText="1"/>
    </xf>
    <xf numFmtId="0" fontId="16" fillId="0" borderId="17" xfId="0" applyFont="1" applyBorder="1" applyAlignment="1">
      <alignment wrapText="1"/>
    </xf>
    <xf numFmtId="0" fontId="20" fillId="0" borderId="11" xfId="0" applyFont="1" applyBorder="1" applyAlignment="1">
      <alignment horizontal="center" wrapText="1"/>
    </xf>
    <xf numFmtId="0" fontId="15" fillId="0" borderId="0" xfId="0" applyFont="1" applyAlignment="1">
      <alignment wrapText="1"/>
    </xf>
    <xf numFmtId="0" fontId="11" fillId="0" borderId="11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11" xfId="0" applyFont="1" applyBorder="1" applyAlignment="1">
      <alignment horizontal="center" wrapText="1"/>
    </xf>
    <xf numFmtId="0" fontId="16" fillId="0" borderId="11" xfId="0" applyFont="1" applyBorder="1" applyAlignment="1">
      <alignment wrapText="1"/>
    </xf>
    <xf numFmtId="186" fontId="11" fillId="0" borderId="11" xfId="0" applyNumberFormat="1" applyFont="1" applyBorder="1" applyAlignment="1">
      <alignment horizontal="center"/>
    </xf>
    <xf numFmtId="186" fontId="11" fillId="0" borderId="11" xfId="0" applyNumberFormat="1" applyFont="1" applyBorder="1" applyAlignment="1">
      <alignment horizontal="centerContinuous" wrapText="1"/>
    </xf>
    <xf numFmtId="0" fontId="15" fillId="0" borderId="11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186" fontId="15" fillId="0" borderId="11" xfId="0" applyNumberFormat="1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186" fontId="11" fillId="0" borderId="11" xfId="0" applyNumberFormat="1" applyFont="1" applyBorder="1" applyAlignment="1">
      <alignment horizontal="center" wrapText="1"/>
    </xf>
    <xf numFmtId="186" fontId="18" fillId="0" borderId="11" xfId="0" applyNumberFormat="1" applyFont="1" applyBorder="1" applyAlignment="1">
      <alignment horizontal="center"/>
    </xf>
    <xf numFmtId="1" fontId="11" fillId="0" borderId="11" xfId="0" applyNumberFormat="1" applyFont="1" applyBorder="1" applyAlignment="1">
      <alignment horizontal="center" wrapText="1"/>
    </xf>
    <xf numFmtId="0" fontId="11" fillId="34" borderId="11" xfId="0" applyFont="1" applyFill="1" applyBorder="1" applyAlignment="1">
      <alignment horizontal="center"/>
    </xf>
    <xf numFmtId="0" fontId="11" fillId="34" borderId="11" xfId="0" applyFont="1" applyFill="1" applyBorder="1" applyAlignment="1">
      <alignment horizontal="center" wrapText="1"/>
    </xf>
    <xf numFmtId="1" fontId="11" fillId="34" borderId="11" xfId="0" applyNumberFormat="1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186" fontId="11" fillId="34" borderId="11" xfId="0" applyNumberFormat="1" applyFont="1" applyFill="1" applyBorder="1" applyAlignment="1">
      <alignment horizontal="center"/>
    </xf>
    <xf numFmtId="0" fontId="11" fillId="34" borderId="0" xfId="0" applyFont="1" applyFill="1" applyAlignment="1">
      <alignment/>
    </xf>
    <xf numFmtId="0" fontId="16" fillId="0" borderId="11" xfId="0" applyFont="1" applyBorder="1" applyAlignment="1">
      <alignment horizontal="left" wrapText="1"/>
    </xf>
    <xf numFmtId="0" fontId="11" fillId="0" borderId="0" xfId="0" applyFont="1" applyAlignment="1">
      <alignment wrapText="1"/>
    </xf>
    <xf numFmtId="49" fontId="16" fillId="0" borderId="0" xfId="0" applyNumberFormat="1" applyFont="1" applyBorder="1" applyAlignment="1">
      <alignment horizontal="centerContinuous" wrapText="1"/>
    </xf>
    <xf numFmtId="0" fontId="11" fillId="0" borderId="0" xfId="0" applyFont="1" applyAlignment="1">
      <alignment horizontal="centerContinuous" wrapText="1"/>
    </xf>
    <xf numFmtId="0" fontId="11" fillId="0" borderId="0" xfId="0" applyFont="1" applyAlignment="1">
      <alignment horizontal="centerContinuous"/>
    </xf>
    <xf numFmtId="0" fontId="19" fillId="0" borderId="0" xfId="0" applyFont="1" applyAlignment="1">
      <alignment horizontal="centerContinuous"/>
    </xf>
    <xf numFmtId="186" fontId="11" fillId="0" borderId="0" xfId="0" applyNumberFormat="1" applyFont="1" applyAlignment="1">
      <alignment horizontal="centerContinuous"/>
    </xf>
    <xf numFmtId="186" fontId="8" fillId="34" borderId="18" xfId="0" applyNumberFormat="1" applyFont="1" applyFill="1" applyBorder="1" applyAlignment="1">
      <alignment horizontal="center"/>
    </xf>
    <xf numFmtId="49" fontId="16" fillId="0" borderId="0" xfId="0" applyNumberFormat="1" applyFont="1" applyAlignment="1">
      <alignment horizontal="centerContinuous" wrapText="1"/>
    </xf>
    <xf numFmtId="0" fontId="16" fillId="0" borderId="0" xfId="0" applyFont="1" applyAlignment="1">
      <alignment wrapText="1"/>
    </xf>
    <xf numFmtId="0" fontId="15" fillId="0" borderId="19" xfId="0" applyFont="1" applyBorder="1" applyAlignment="1">
      <alignment horizontal="center"/>
    </xf>
    <xf numFmtId="0" fontId="15" fillId="33" borderId="20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11" fillId="33" borderId="11" xfId="0" applyFont="1" applyFill="1" applyBorder="1" applyAlignment="1">
      <alignment/>
    </xf>
    <xf numFmtId="0" fontId="27" fillId="33" borderId="11" xfId="0" applyFont="1" applyFill="1" applyBorder="1" applyAlignment="1">
      <alignment/>
    </xf>
    <xf numFmtId="0" fontId="16" fillId="33" borderId="11" xfId="0" applyFont="1" applyFill="1" applyBorder="1" applyAlignment="1">
      <alignment/>
    </xf>
    <xf numFmtId="0" fontId="11" fillId="33" borderId="0" xfId="0" applyFont="1" applyFill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1" xfId="0" applyFont="1" applyBorder="1" applyAlignment="1">
      <alignment/>
    </xf>
    <xf numFmtId="0" fontId="23" fillId="0" borderId="11" xfId="0" applyFont="1" applyBorder="1" applyAlignment="1">
      <alignment/>
    </xf>
    <xf numFmtId="1" fontId="11" fillId="0" borderId="11" xfId="0" applyNumberFormat="1" applyFont="1" applyBorder="1" applyAlignment="1">
      <alignment/>
    </xf>
    <xf numFmtId="186" fontId="11" fillId="0" borderId="11" xfId="0" applyNumberFormat="1" applyFont="1" applyBorder="1" applyAlignment="1">
      <alignment/>
    </xf>
    <xf numFmtId="0" fontId="18" fillId="0" borderId="11" xfId="0" applyFont="1" applyBorder="1" applyAlignment="1">
      <alignment/>
    </xf>
    <xf numFmtId="0" fontId="11" fillId="0" borderId="11" xfId="0" applyFont="1" applyBorder="1" applyAlignment="1">
      <alignment horizontal="right"/>
    </xf>
    <xf numFmtId="0" fontId="14" fillId="0" borderId="11" xfId="0" applyFont="1" applyBorder="1" applyAlignment="1">
      <alignment/>
    </xf>
    <xf numFmtId="1" fontId="14" fillId="0" borderId="11" xfId="0" applyNumberFormat="1" applyFont="1" applyBorder="1" applyAlignment="1">
      <alignment/>
    </xf>
    <xf numFmtId="1" fontId="28" fillId="0" borderId="11" xfId="0" applyNumberFormat="1" applyFont="1" applyBorder="1" applyAlignment="1">
      <alignment/>
    </xf>
    <xf numFmtId="186" fontId="29" fillId="0" borderId="11" xfId="0" applyNumberFormat="1" applyFont="1" applyBorder="1" applyAlignment="1">
      <alignment/>
    </xf>
    <xf numFmtId="0" fontId="16" fillId="0" borderId="11" xfId="0" applyFont="1" applyBorder="1" applyAlignment="1">
      <alignment horizontal="center" vertical="center" wrapText="1"/>
    </xf>
    <xf numFmtId="0" fontId="30" fillId="0" borderId="0" xfId="0" applyFont="1" applyAlignment="1">
      <alignment/>
    </xf>
    <xf numFmtId="0" fontId="15" fillId="0" borderId="11" xfId="0" applyFont="1" applyBorder="1" applyAlignment="1">
      <alignment horizontal="center" vertical="center" wrapText="1"/>
    </xf>
    <xf numFmtId="9" fontId="15" fillId="0" borderId="11" xfId="0" applyNumberFormat="1" applyFont="1" applyBorder="1" applyAlignment="1">
      <alignment horizontal="center" vertical="center" wrapText="1"/>
    </xf>
    <xf numFmtId="0" fontId="31" fillId="0" borderId="0" xfId="0" applyFont="1" applyAlignment="1">
      <alignment/>
    </xf>
    <xf numFmtId="0" fontId="16" fillId="33" borderId="0" xfId="0" applyFont="1" applyFill="1" applyAlignment="1">
      <alignment wrapText="1"/>
    </xf>
    <xf numFmtId="0" fontId="11" fillId="33" borderId="0" xfId="0" applyFont="1" applyFill="1" applyAlignment="1">
      <alignment horizontal="centerContinuous" wrapText="1"/>
    </xf>
    <xf numFmtId="0" fontId="16" fillId="33" borderId="0" xfId="0" applyFont="1" applyFill="1" applyAlignment="1">
      <alignment horizontal="centerContinuous" wrapText="1"/>
    </xf>
    <xf numFmtId="0" fontId="15" fillId="33" borderId="11" xfId="0" applyFont="1" applyFill="1" applyBorder="1" applyAlignment="1">
      <alignment horizontal="center"/>
    </xf>
    <xf numFmtId="0" fontId="15" fillId="33" borderId="11" xfId="0" applyFont="1" applyFill="1" applyBorder="1" applyAlignment="1">
      <alignment wrapText="1"/>
    </xf>
    <xf numFmtId="0" fontId="21" fillId="33" borderId="11" xfId="0" applyFont="1" applyFill="1" applyBorder="1" applyAlignment="1">
      <alignment horizontal="center" wrapText="1"/>
    </xf>
    <xf numFmtId="186" fontId="16" fillId="0" borderId="11" xfId="0" applyNumberFormat="1" applyFont="1" applyBorder="1" applyAlignment="1">
      <alignment horizontal="center" wrapText="1"/>
    </xf>
    <xf numFmtId="0" fontId="10" fillId="0" borderId="11" xfId="0" applyFont="1" applyBorder="1" applyAlignment="1">
      <alignment horizontal="center"/>
    </xf>
    <xf numFmtId="0" fontId="25" fillId="0" borderId="11" xfId="0" applyFont="1" applyBorder="1" applyAlignment="1">
      <alignment wrapText="1"/>
    </xf>
    <xf numFmtId="0" fontId="24" fillId="0" borderId="11" xfId="0" applyFont="1" applyBorder="1" applyAlignment="1">
      <alignment horizontal="center" wrapText="1"/>
    </xf>
    <xf numFmtId="186" fontId="14" fillId="0" borderId="11" xfId="0" applyNumberFormat="1" applyFont="1" applyBorder="1" applyAlignment="1">
      <alignment horizontal="center" wrapText="1"/>
    </xf>
    <xf numFmtId="0" fontId="25" fillId="0" borderId="0" xfId="0" applyFont="1" applyBorder="1" applyAlignment="1">
      <alignment horizontal="centerContinuous" wrapText="1"/>
    </xf>
    <xf numFmtId="0" fontId="16" fillId="0" borderId="0" xfId="0" applyFont="1" applyAlignment="1">
      <alignment horizontal="centerContinuous" wrapText="1"/>
    </xf>
    <xf numFmtId="0" fontId="10" fillId="33" borderId="0" xfId="0" applyFont="1" applyFill="1" applyBorder="1" applyAlignment="1">
      <alignment horizontal="center" wrapText="1"/>
    </xf>
    <xf numFmtId="0" fontId="11" fillId="33" borderId="0" xfId="0" applyFont="1" applyFill="1" applyAlignment="1">
      <alignment horizontal="centerContinuous"/>
    </xf>
    <xf numFmtId="0" fontId="14" fillId="0" borderId="11" xfId="0" applyFont="1" applyBorder="1" applyAlignment="1">
      <alignment horizontal="center"/>
    </xf>
    <xf numFmtId="186" fontId="24" fillId="0" borderId="11" xfId="0" applyNumberFormat="1" applyFont="1" applyBorder="1" applyAlignment="1">
      <alignment horizontal="center" wrapText="1"/>
    </xf>
    <xf numFmtId="0" fontId="16" fillId="33" borderId="0" xfId="0" applyFont="1" applyFill="1" applyBorder="1" applyAlignment="1">
      <alignment horizontal="centerContinuous" wrapText="1"/>
    </xf>
    <xf numFmtId="0" fontId="16" fillId="0" borderId="11" xfId="0" applyFont="1" applyBorder="1" applyAlignment="1">
      <alignment horizontal="center"/>
    </xf>
    <xf numFmtId="0" fontId="16" fillId="33" borderId="11" xfId="0" applyFont="1" applyFill="1" applyBorder="1" applyAlignment="1">
      <alignment horizontal="center" wrapText="1"/>
    </xf>
    <xf numFmtId="186" fontId="16" fillId="0" borderId="11" xfId="0" applyNumberFormat="1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4" fillId="33" borderId="0" xfId="0" applyFont="1" applyFill="1" applyBorder="1" applyAlignment="1">
      <alignment horizontal="center"/>
    </xf>
    <xf numFmtId="0" fontId="24" fillId="33" borderId="0" xfId="0" applyFont="1" applyFill="1" applyBorder="1" applyAlignment="1">
      <alignment horizontal="centerContinuous" wrapText="1"/>
    </xf>
    <xf numFmtId="0" fontId="24" fillId="33" borderId="0" xfId="0" applyFont="1" applyFill="1" applyBorder="1" applyAlignment="1">
      <alignment horizontal="center" vertical="distributed" wrapText="1" readingOrder="1"/>
    </xf>
    <xf numFmtId="186" fontId="24" fillId="33" borderId="0" xfId="0" applyNumberFormat="1" applyFont="1" applyFill="1" applyBorder="1" applyAlignment="1">
      <alignment horizontal="center" vertical="distributed" wrapText="1" readingOrder="1"/>
    </xf>
    <xf numFmtId="186" fontId="16" fillId="33" borderId="0" xfId="0" applyNumberFormat="1" applyFont="1" applyFill="1" applyBorder="1" applyAlignment="1">
      <alignment horizontal="centerContinuous" wrapText="1"/>
    </xf>
    <xf numFmtId="0" fontId="14" fillId="33" borderId="0" xfId="0" applyFont="1" applyFill="1" applyAlignment="1">
      <alignment horizontal="centerContinuous"/>
    </xf>
    <xf numFmtId="0" fontId="10" fillId="33" borderId="0" xfId="0" applyFont="1" applyFill="1" applyBorder="1" applyAlignment="1">
      <alignment wrapText="1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4" fillId="0" borderId="23" xfId="0" applyFont="1" applyBorder="1" applyAlignment="1">
      <alignment horizontal="center" wrapText="1"/>
    </xf>
    <xf numFmtId="0" fontId="11" fillId="0" borderId="24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4" fillId="0" borderId="16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wrapText="1"/>
    </xf>
    <xf numFmtId="0" fontId="15" fillId="33" borderId="24" xfId="0" applyFont="1" applyFill="1" applyBorder="1" applyAlignment="1">
      <alignment horizontal="center"/>
    </xf>
    <xf numFmtId="0" fontId="15" fillId="33" borderId="25" xfId="0" applyFont="1" applyFill="1" applyBorder="1" applyAlignment="1">
      <alignment horizontal="center"/>
    </xf>
    <xf numFmtId="0" fontId="15" fillId="0" borderId="16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0" fillId="33" borderId="27" xfId="0" applyFont="1" applyFill="1" applyBorder="1" applyAlignment="1">
      <alignment horizontal="center" wrapText="1"/>
    </xf>
    <xf numFmtId="0" fontId="11" fillId="0" borderId="28" xfId="0" applyFont="1" applyBorder="1" applyAlignment="1">
      <alignment horizontal="center"/>
    </xf>
    <xf numFmtId="0" fontId="11" fillId="0" borderId="17" xfId="0" applyFont="1" applyBorder="1" applyAlignment="1">
      <alignment horizontal="left" vertical="center"/>
    </xf>
    <xf numFmtId="186" fontId="11" fillId="0" borderId="17" xfId="0" applyNumberFormat="1" applyFont="1" applyBorder="1" applyAlignment="1">
      <alignment horizontal="center" vertical="center" wrapText="1"/>
    </xf>
    <xf numFmtId="186" fontId="11" fillId="0" borderId="29" xfId="0" applyNumberFormat="1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/>
    </xf>
    <xf numFmtId="0" fontId="11" fillId="0" borderId="11" xfId="0" applyFont="1" applyBorder="1" applyAlignment="1">
      <alignment horizontal="left" vertical="center"/>
    </xf>
    <xf numFmtId="186" fontId="11" fillId="0" borderId="11" xfId="0" applyNumberFormat="1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/>
    </xf>
    <xf numFmtId="0" fontId="11" fillId="0" borderId="12" xfId="0" applyFont="1" applyBorder="1" applyAlignment="1">
      <alignment wrapText="1"/>
    </xf>
    <xf numFmtId="0" fontId="11" fillId="0" borderId="19" xfId="0" applyFont="1" applyBorder="1" applyAlignment="1">
      <alignment horizontal="center"/>
    </xf>
    <xf numFmtId="0" fontId="14" fillId="35" borderId="20" xfId="0" applyFont="1" applyFill="1" applyBorder="1" applyAlignment="1">
      <alignment wrapText="1"/>
    </xf>
    <xf numFmtId="0" fontId="14" fillId="35" borderId="20" xfId="0" applyFont="1" applyFill="1" applyBorder="1" applyAlignment="1">
      <alignment horizontal="center" vertical="center"/>
    </xf>
    <xf numFmtId="186" fontId="14" fillId="35" borderId="20" xfId="0" applyNumberFormat="1" applyFont="1" applyFill="1" applyBorder="1" applyAlignment="1">
      <alignment horizontal="center" vertical="center"/>
    </xf>
    <xf numFmtId="186" fontId="14" fillId="35" borderId="32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wrapText="1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1" fillId="33" borderId="10" xfId="0" applyFont="1" applyFill="1" applyBorder="1" applyAlignment="1">
      <alignment horizontal="centerContinuous" wrapText="1"/>
    </xf>
    <xf numFmtId="0" fontId="12" fillId="33" borderId="0" xfId="0" applyFont="1" applyFill="1" applyBorder="1" applyAlignment="1">
      <alignment horizontal="centerContinuous" wrapText="1"/>
    </xf>
    <xf numFmtId="0" fontId="32" fillId="33" borderId="0" xfId="0" applyFont="1" applyFill="1" applyBorder="1" applyAlignment="1">
      <alignment horizontal="centerContinuous" wrapText="1"/>
    </xf>
    <xf numFmtId="0" fontId="11" fillId="33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11" fillId="33" borderId="0" xfId="0" applyFont="1" applyFill="1" applyAlignment="1">
      <alignment horizontal="center" wrapText="1"/>
    </xf>
    <xf numFmtId="0" fontId="14" fillId="0" borderId="0" xfId="0" applyFont="1" applyFill="1" applyAlignment="1">
      <alignment wrapText="1"/>
    </xf>
    <xf numFmtId="0" fontId="14" fillId="33" borderId="0" xfId="0" applyFont="1" applyFill="1" applyAlignment="1">
      <alignment wrapText="1"/>
    </xf>
    <xf numFmtId="0" fontId="14" fillId="33" borderId="0" xfId="0" applyFont="1" applyFill="1" applyAlignment="1">
      <alignment horizontal="center" wrapText="1"/>
    </xf>
    <xf numFmtId="0" fontId="14" fillId="33" borderId="0" xfId="0" applyFont="1" applyFill="1" applyBorder="1" applyAlignment="1">
      <alignment wrapText="1"/>
    </xf>
    <xf numFmtId="0" fontId="11" fillId="33" borderId="23" xfId="0" applyFont="1" applyFill="1" applyBorder="1" applyAlignment="1">
      <alignment wrapText="1"/>
    </xf>
    <xf numFmtId="0" fontId="11" fillId="33" borderId="23" xfId="0" applyFont="1" applyFill="1" applyBorder="1" applyAlignment="1">
      <alignment horizontal="center" wrapText="1"/>
    </xf>
    <xf numFmtId="0" fontId="14" fillId="0" borderId="33" xfId="0" applyFont="1" applyFill="1" applyBorder="1" applyAlignment="1">
      <alignment horizontal="center" wrapText="1"/>
    </xf>
    <xf numFmtId="0" fontId="16" fillId="0" borderId="34" xfId="0" applyFont="1" applyFill="1" applyBorder="1" applyAlignment="1">
      <alignment horizontal="center" wrapText="1"/>
    </xf>
    <xf numFmtId="0" fontId="16" fillId="0" borderId="35" xfId="0" applyFont="1" applyFill="1" applyBorder="1" applyAlignment="1">
      <alignment horizontal="center" vertical="center" wrapText="1"/>
    </xf>
    <xf numFmtId="0" fontId="16" fillId="0" borderId="36" xfId="0" applyFont="1" applyFill="1" applyBorder="1" applyAlignment="1">
      <alignment horizontal="center" vertical="center" wrapText="1"/>
    </xf>
    <xf numFmtId="49" fontId="15" fillId="0" borderId="0" xfId="0" applyNumberFormat="1" applyFont="1" applyFill="1" applyAlignment="1">
      <alignment wrapText="1"/>
    </xf>
    <xf numFmtId="0" fontId="16" fillId="0" borderId="17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4" fillId="0" borderId="14" xfId="0" applyFont="1" applyFill="1" applyBorder="1" applyAlignment="1">
      <alignment horizontal="left" wrapText="1"/>
    </xf>
    <xf numFmtId="0" fontId="15" fillId="33" borderId="11" xfId="0" applyFont="1" applyFill="1" applyBorder="1" applyAlignment="1">
      <alignment/>
    </xf>
    <xf numFmtId="0" fontId="24" fillId="33" borderId="16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49" fontId="15" fillId="0" borderId="0" xfId="0" applyNumberFormat="1" applyFont="1" applyFill="1" applyAlignment="1">
      <alignment vertical="center" wrapText="1"/>
    </xf>
    <xf numFmtId="0" fontId="16" fillId="0" borderId="0" xfId="0" applyFont="1" applyBorder="1" applyAlignment="1">
      <alignment horizontal="center"/>
    </xf>
    <xf numFmtId="0" fontId="12" fillId="33" borderId="10" xfId="0" applyFont="1" applyFill="1" applyBorder="1" applyAlignment="1">
      <alignment wrapText="1"/>
    </xf>
    <xf numFmtId="0" fontId="31" fillId="0" borderId="33" xfId="0" applyFont="1" applyBorder="1" applyAlignment="1">
      <alignment horizontal="center"/>
    </xf>
    <xf numFmtId="0" fontId="31" fillId="0" borderId="37" xfId="0" applyFont="1" applyBorder="1" applyAlignment="1">
      <alignment horizontal="center"/>
    </xf>
    <xf numFmtId="0" fontId="31" fillId="0" borderId="18" xfId="0" applyFont="1" applyBorder="1" applyAlignment="1">
      <alignment horizontal="center"/>
    </xf>
    <xf numFmtId="0" fontId="33" fillId="0" borderId="0" xfId="0" applyFont="1" applyAlignment="1">
      <alignment/>
    </xf>
    <xf numFmtId="0" fontId="18" fillId="0" borderId="30" xfId="0" applyFont="1" applyBorder="1" applyAlignment="1">
      <alignment horizontal="center"/>
    </xf>
    <xf numFmtId="0" fontId="14" fillId="0" borderId="0" xfId="0" applyFont="1" applyAlignment="1">
      <alignment horizontal="center" vertical="top"/>
    </xf>
    <xf numFmtId="0" fontId="10" fillId="33" borderId="0" xfId="0" applyFont="1" applyFill="1" applyBorder="1" applyAlignment="1">
      <alignment horizontal="left" wrapText="1"/>
    </xf>
    <xf numFmtId="0" fontId="11" fillId="0" borderId="0" xfId="0" applyFont="1" applyAlignment="1">
      <alignment horizontal="left"/>
    </xf>
    <xf numFmtId="0" fontId="16" fillId="0" borderId="11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6" fillId="0" borderId="17" xfId="0" applyFont="1" applyFill="1" applyBorder="1" applyAlignment="1">
      <alignment horizontal="center" vertical="center" wrapText="1"/>
    </xf>
    <xf numFmtId="1" fontId="11" fillId="0" borderId="11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33" borderId="0" xfId="0" applyFont="1" applyFill="1" applyAlignment="1">
      <alignment horizontal="center"/>
    </xf>
    <xf numFmtId="0" fontId="35" fillId="33" borderId="10" xfId="0" applyFont="1" applyFill="1" applyBorder="1" applyAlignment="1">
      <alignment horizontal="left" wrapText="1"/>
    </xf>
    <xf numFmtId="0" fontId="35" fillId="33" borderId="0" xfId="0" applyFont="1" applyFill="1" applyBorder="1" applyAlignment="1">
      <alignment horizontal="centerContinuous" wrapText="1"/>
    </xf>
    <xf numFmtId="0" fontId="13" fillId="0" borderId="0" xfId="0" applyFont="1" applyBorder="1" applyAlignment="1">
      <alignment/>
    </xf>
    <xf numFmtId="0" fontId="11" fillId="33" borderId="11" xfId="0" applyFont="1" applyFill="1" applyBorder="1" applyAlignment="1">
      <alignment horizontal="center"/>
    </xf>
    <xf numFmtId="0" fontId="13" fillId="33" borderId="11" xfId="0" applyFont="1" applyFill="1" applyBorder="1" applyAlignment="1">
      <alignment horizontal="center"/>
    </xf>
    <xf numFmtId="0" fontId="13" fillId="33" borderId="11" xfId="0" applyFont="1" applyFill="1" applyBorder="1" applyAlignment="1">
      <alignment/>
    </xf>
    <xf numFmtId="0" fontId="16" fillId="33" borderId="11" xfId="0" applyFont="1" applyFill="1" applyBorder="1" applyAlignment="1">
      <alignment horizontal="center"/>
    </xf>
    <xf numFmtId="0" fontId="26" fillId="33" borderId="0" xfId="0" applyFont="1" applyFill="1" applyAlignment="1">
      <alignment/>
    </xf>
    <xf numFmtId="0" fontId="11" fillId="33" borderId="0" xfId="0" applyFont="1" applyFill="1" applyBorder="1" applyAlignment="1">
      <alignment horizontal="left" wrapText="1"/>
    </xf>
    <xf numFmtId="0" fontId="12" fillId="33" borderId="0" xfId="0" applyFont="1" applyFill="1" applyBorder="1" applyAlignment="1">
      <alignment/>
    </xf>
    <xf numFmtId="0" fontId="11" fillId="33" borderId="12" xfId="0" applyFont="1" applyFill="1" applyBorder="1" applyAlignment="1">
      <alignment horizontal="center"/>
    </xf>
    <xf numFmtId="0" fontId="11" fillId="33" borderId="38" xfId="0" applyFont="1" applyFill="1" applyBorder="1" applyAlignment="1">
      <alignment/>
    </xf>
    <xf numFmtId="0" fontId="11" fillId="33" borderId="13" xfId="0" applyFont="1" applyFill="1" applyBorder="1" applyAlignment="1">
      <alignment/>
    </xf>
    <xf numFmtId="0" fontId="11" fillId="33" borderId="14" xfId="0" applyFont="1" applyFill="1" applyBorder="1" applyAlignment="1">
      <alignment/>
    </xf>
    <xf numFmtId="0" fontId="15" fillId="33" borderId="17" xfId="0" applyFont="1" applyFill="1" applyBorder="1" applyAlignment="1">
      <alignment horizontal="center"/>
    </xf>
    <xf numFmtId="0" fontId="14" fillId="33" borderId="11" xfId="0" applyFont="1" applyFill="1" applyBorder="1" applyAlignment="1">
      <alignment horizontal="center"/>
    </xf>
    <xf numFmtId="0" fontId="24" fillId="33" borderId="11" xfId="0" applyFont="1" applyFill="1" applyBorder="1" applyAlignment="1">
      <alignment wrapText="1"/>
    </xf>
    <xf numFmtId="186" fontId="11" fillId="33" borderId="11" xfId="0" applyNumberFormat="1" applyFont="1" applyFill="1" applyBorder="1" applyAlignment="1">
      <alignment horizontal="center"/>
    </xf>
    <xf numFmtId="0" fontId="37" fillId="33" borderId="11" xfId="0" applyFont="1" applyFill="1" applyBorder="1" applyAlignment="1">
      <alignment/>
    </xf>
    <xf numFmtId="186" fontId="14" fillId="33" borderId="11" xfId="0" applyNumberFormat="1" applyFont="1" applyFill="1" applyBorder="1" applyAlignment="1">
      <alignment horizontal="center"/>
    </xf>
    <xf numFmtId="0" fontId="14" fillId="0" borderId="0" xfId="0" applyFont="1" applyAlignment="1">
      <alignment/>
    </xf>
    <xf numFmtId="0" fontId="15" fillId="0" borderId="11" xfId="0" applyFont="1" applyBorder="1" applyAlignment="1">
      <alignment wrapText="1"/>
    </xf>
    <xf numFmtId="0" fontId="38" fillId="33" borderId="11" xfId="0" applyFont="1" applyFill="1" applyBorder="1" applyAlignment="1">
      <alignment wrapText="1"/>
    </xf>
    <xf numFmtId="0" fontId="37" fillId="33" borderId="11" xfId="0" applyFont="1" applyFill="1" applyBorder="1" applyAlignment="1">
      <alignment wrapText="1"/>
    </xf>
    <xf numFmtId="0" fontId="15" fillId="33" borderId="0" xfId="0" applyFont="1" applyFill="1" applyBorder="1" applyAlignment="1">
      <alignment horizontal="centerContinuous"/>
    </xf>
    <xf numFmtId="0" fontId="15" fillId="33" borderId="0" xfId="0" applyFont="1" applyFill="1" applyAlignment="1">
      <alignment horizontal="center" wrapText="1"/>
    </xf>
    <xf numFmtId="0" fontId="10" fillId="0" borderId="0" xfId="0" applyFont="1" applyFill="1" applyBorder="1" applyAlignment="1">
      <alignment wrapText="1"/>
    </xf>
    <xf numFmtId="186" fontId="14" fillId="36" borderId="11" xfId="0" applyNumberFormat="1" applyFont="1" applyFill="1" applyBorder="1" applyAlignment="1">
      <alignment horizontal="center"/>
    </xf>
    <xf numFmtId="0" fontId="14" fillId="36" borderId="0" xfId="0" applyFont="1" applyFill="1" applyAlignment="1">
      <alignment/>
    </xf>
    <xf numFmtId="186" fontId="11" fillId="33" borderId="11" xfId="0" applyNumberFormat="1" applyFont="1" applyFill="1" applyBorder="1" applyAlignment="1">
      <alignment/>
    </xf>
    <xf numFmtId="0" fontId="15" fillId="0" borderId="0" xfId="0" applyFont="1" applyBorder="1" applyAlignment="1">
      <alignment horizontal="centerContinuous" wrapText="1"/>
    </xf>
    <xf numFmtId="0" fontId="11" fillId="33" borderId="12" xfId="0" applyFont="1" applyFill="1" applyBorder="1" applyAlignment="1">
      <alignment/>
    </xf>
    <xf numFmtId="0" fontId="32" fillId="33" borderId="38" xfId="0" applyFont="1" applyFill="1" applyBorder="1" applyAlignment="1">
      <alignment horizontal="centerContinuous" wrapText="1"/>
    </xf>
    <xf numFmtId="0" fontId="14" fillId="33" borderId="11" xfId="0" applyFont="1" applyFill="1" applyBorder="1" applyAlignment="1">
      <alignment horizontal="centerContinuous"/>
    </xf>
    <xf numFmtId="0" fontId="14" fillId="33" borderId="13" xfId="0" applyFont="1" applyFill="1" applyBorder="1" applyAlignment="1">
      <alignment horizontal="centerContinuous"/>
    </xf>
    <xf numFmtId="0" fontId="14" fillId="33" borderId="14" xfId="0" applyFont="1" applyFill="1" applyBorder="1" applyAlignment="1">
      <alignment horizontal="centerContinuous"/>
    </xf>
    <xf numFmtId="0" fontId="11" fillId="33" borderId="14" xfId="0" applyFont="1" applyFill="1" applyBorder="1" applyAlignment="1">
      <alignment horizontal="centerContinuous"/>
    </xf>
    <xf numFmtId="0" fontId="11" fillId="33" borderId="15" xfId="0" applyFont="1" applyFill="1" applyBorder="1" applyAlignment="1">
      <alignment horizontal="centerContinuous"/>
    </xf>
    <xf numFmtId="0" fontId="14" fillId="33" borderId="12" xfId="0" applyFont="1" applyFill="1" applyBorder="1" applyAlignment="1">
      <alignment horizontal="centerContinuous"/>
    </xf>
    <xf numFmtId="0" fontId="11" fillId="33" borderId="13" xfId="0" applyFont="1" applyFill="1" applyBorder="1" applyAlignment="1">
      <alignment horizontal="centerContinuous"/>
    </xf>
    <xf numFmtId="0" fontId="11" fillId="33" borderId="16" xfId="0" applyFont="1" applyFill="1" applyBorder="1" applyAlignment="1">
      <alignment/>
    </xf>
    <xf numFmtId="0" fontId="11" fillId="33" borderId="25" xfId="0" applyFont="1" applyFill="1" applyBorder="1" applyAlignment="1">
      <alignment/>
    </xf>
    <xf numFmtId="0" fontId="16" fillId="33" borderId="13" xfId="0" applyFont="1" applyFill="1" applyBorder="1" applyAlignment="1">
      <alignment horizontal="centerContinuous"/>
    </xf>
    <xf numFmtId="0" fontId="16" fillId="33" borderId="14" xfId="0" applyFont="1" applyFill="1" applyBorder="1" applyAlignment="1">
      <alignment horizontal="centerContinuous"/>
    </xf>
    <xf numFmtId="0" fontId="16" fillId="33" borderId="0" xfId="0" applyFont="1" applyFill="1" applyBorder="1" applyAlignment="1">
      <alignment horizontal="centerContinuous"/>
    </xf>
    <xf numFmtId="0" fontId="16" fillId="0" borderId="0" xfId="0" applyFont="1" applyAlignment="1">
      <alignment/>
    </xf>
    <xf numFmtId="186" fontId="11" fillId="33" borderId="11" xfId="0" applyNumberFormat="1" applyFont="1" applyFill="1" applyBorder="1" applyAlignment="1">
      <alignment horizontal="center" wrapText="1"/>
    </xf>
    <xf numFmtId="0" fontId="10" fillId="33" borderId="17" xfId="0" applyFont="1" applyFill="1" applyBorder="1" applyAlignment="1">
      <alignment horizontal="center" wrapText="1"/>
    </xf>
    <xf numFmtId="0" fontId="14" fillId="33" borderId="11" xfId="0" applyFont="1" applyFill="1" applyBorder="1" applyAlignment="1">
      <alignment/>
    </xf>
    <xf numFmtId="0" fontId="19" fillId="33" borderId="11" xfId="0" applyFont="1" applyFill="1" applyBorder="1" applyAlignment="1">
      <alignment horizontal="center"/>
    </xf>
    <xf numFmtId="0" fontId="39" fillId="33" borderId="11" xfId="0" applyFont="1" applyFill="1" applyBorder="1" applyAlignment="1">
      <alignment horizontal="center"/>
    </xf>
    <xf numFmtId="186" fontId="19" fillId="33" borderId="11" xfId="0" applyNumberFormat="1" applyFont="1" applyFill="1" applyBorder="1" applyAlignment="1">
      <alignment horizontal="center"/>
    </xf>
    <xf numFmtId="0" fontId="19" fillId="0" borderId="0" xfId="0" applyFont="1" applyAlignment="1">
      <alignment/>
    </xf>
    <xf numFmtId="0" fontId="14" fillId="33" borderId="12" xfId="0" applyFont="1" applyFill="1" applyBorder="1" applyAlignment="1">
      <alignment horizontal="center"/>
    </xf>
    <xf numFmtId="0" fontId="14" fillId="33" borderId="17" xfId="0" applyFont="1" applyFill="1" applyBorder="1" applyAlignment="1">
      <alignment horizontal="center"/>
    </xf>
    <xf numFmtId="0" fontId="11" fillId="33" borderId="17" xfId="0" applyFont="1" applyFill="1" applyBorder="1" applyAlignment="1">
      <alignment/>
    </xf>
    <xf numFmtId="0" fontId="18" fillId="33" borderId="11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5" fillId="0" borderId="39" xfId="0" applyFont="1" applyBorder="1" applyAlignment="1">
      <alignment horizontal="center" vertical="center" wrapText="1"/>
    </xf>
    <xf numFmtId="0" fontId="11" fillId="0" borderId="17" xfId="0" applyFont="1" applyBorder="1" applyAlignment="1">
      <alignment wrapText="1"/>
    </xf>
    <xf numFmtId="0" fontId="11" fillId="0" borderId="16" xfId="0" applyFont="1" applyBorder="1" applyAlignment="1">
      <alignment wrapText="1"/>
    </xf>
    <xf numFmtId="0" fontId="11" fillId="0" borderId="27" xfId="0" applyFont="1" applyBorder="1" applyAlignment="1">
      <alignment horizontal="center"/>
    </xf>
    <xf numFmtId="0" fontId="15" fillId="0" borderId="33" xfId="0" applyFont="1" applyBorder="1" applyAlignment="1">
      <alignment horizontal="center" vertical="center" wrapText="1"/>
    </xf>
    <xf numFmtId="0" fontId="14" fillId="0" borderId="39" xfId="0" applyFont="1" applyBorder="1" applyAlignment="1">
      <alignment horizontal="center" vertical="center"/>
    </xf>
    <xf numFmtId="0" fontId="10" fillId="33" borderId="11" xfId="0" applyFont="1" applyFill="1" applyBorder="1" applyAlignment="1">
      <alignment horizontal="center" wrapText="1"/>
    </xf>
    <xf numFmtId="0" fontId="15" fillId="0" borderId="0" xfId="0" applyFont="1" applyFill="1" applyAlignment="1">
      <alignment horizontal="center"/>
    </xf>
    <xf numFmtId="0" fontId="15" fillId="0" borderId="0" xfId="0" applyFont="1" applyFill="1" applyAlignment="1">
      <alignment/>
    </xf>
    <xf numFmtId="0" fontId="11" fillId="0" borderId="11" xfId="0" applyFont="1" applyFill="1" applyBorder="1" applyAlignment="1">
      <alignment/>
    </xf>
    <xf numFmtId="0" fontId="40" fillId="33" borderId="0" xfId="0" applyFont="1" applyFill="1" applyBorder="1" applyAlignment="1">
      <alignment horizontal="center" wrapText="1"/>
    </xf>
    <xf numFmtId="186" fontId="11" fillId="0" borderId="1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186" fontId="14" fillId="34" borderId="11" xfId="0" applyNumberFormat="1" applyFont="1" applyFill="1" applyBorder="1" applyAlignment="1">
      <alignment horizontal="center" vertical="center" wrapText="1"/>
    </xf>
    <xf numFmtId="0" fontId="14" fillId="34" borderId="0" xfId="0" applyFont="1" applyFill="1" applyAlignment="1">
      <alignment horizontal="center" vertical="center"/>
    </xf>
    <xf numFmtId="0" fontId="11" fillId="33" borderId="0" xfId="0" applyFont="1" applyFill="1" applyAlignment="1">
      <alignment horizontal="center" vertical="center"/>
    </xf>
    <xf numFmtId="0" fontId="11" fillId="33" borderId="11" xfId="0" applyFont="1" applyFill="1" applyBorder="1" applyAlignment="1">
      <alignment horizontal="center" vertical="center" wrapText="1"/>
    </xf>
    <xf numFmtId="0" fontId="14" fillId="33" borderId="0" xfId="0" applyFont="1" applyFill="1" applyAlignment="1">
      <alignment horizontal="center" vertical="center"/>
    </xf>
    <xf numFmtId="0" fontId="40" fillId="33" borderId="0" xfId="0" applyFont="1" applyFill="1" applyBorder="1" applyAlignment="1">
      <alignment horizontal="left" wrapText="1"/>
    </xf>
    <xf numFmtId="0" fontId="14" fillId="0" borderId="11" xfId="0" applyFont="1" applyFill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left" vertical="center" wrapText="1"/>
    </xf>
    <xf numFmtId="0" fontId="14" fillId="34" borderId="11" xfId="0" applyFont="1" applyFill="1" applyBorder="1" applyAlignment="1">
      <alignment horizontal="left" vertical="center" wrapText="1"/>
    </xf>
    <xf numFmtId="49" fontId="14" fillId="0" borderId="17" xfId="0" applyNumberFormat="1" applyFont="1" applyFill="1" applyBorder="1" applyAlignment="1">
      <alignment horizontal="left" vertical="center" wrapText="1"/>
    </xf>
    <xf numFmtId="49" fontId="14" fillId="0" borderId="11" xfId="0" applyNumberFormat="1" applyFont="1" applyFill="1" applyBorder="1" applyAlignment="1">
      <alignment horizontal="left" vertical="center" wrapText="1"/>
    </xf>
    <xf numFmtId="0" fontId="14" fillId="33" borderId="11" xfId="0" applyFont="1" applyFill="1" applyBorder="1" applyAlignment="1">
      <alignment horizontal="left" vertical="center" wrapText="1"/>
    </xf>
    <xf numFmtId="0" fontId="11" fillId="33" borderId="11" xfId="0" applyFont="1" applyFill="1" applyBorder="1" applyAlignment="1">
      <alignment horizontal="left" vertical="center" wrapText="1"/>
    </xf>
    <xf numFmtId="0" fontId="15" fillId="33" borderId="0" xfId="0" applyFont="1" applyFill="1" applyBorder="1" applyAlignment="1">
      <alignment wrapText="1"/>
    </xf>
    <xf numFmtId="0" fontId="14" fillId="34" borderId="11" xfId="0" applyFont="1" applyFill="1" applyBorder="1" applyAlignment="1">
      <alignment wrapText="1"/>
    </xf>
    <xf numFmtId="186" fontId="11" fillId="33" borderId="11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/>
    </xf>
    <xf numFmtId="0" fontId="10" fillId="34" borderId="11" xfId="0" applyFont="1" applyFill="1" applyBorder="1" applyAlignment="1">
      <alignment horizontal="center" wrapText="1"/>
    </xf>
    <xf numFmtId="0" fontId="10" fillId="0" borderId="11" xfId="0" applyFont="1" applyFill="1" applyBorder="1" applyAlignment="1">
      <alignment horizontal="center" wrapText="1"/>
    </xf>
    <xf numFmtId="186" fontId="14" fillId="33" borderId="11" xfId="0" applyNumberFormat="1" applyFont="1" applyFill="1" applyBorder="1" applyAlignment="1">
      <alignment horizontal="center" vertical="center" wrapText="1"/>
    </xf>
    <xf numFmtId="186" fontId="11" fillId="0" borderId="11" xfId="0" applyNumberFormat="1" applyFont="1" applyFill="1" applyBorder="1" applyAlignment="1">
      <alignment horizontal="center"/>
    </xf>
    <xf numFmtId="186" fontId="14" fillId="33" borderId="11" xfId="0" applyNumberFormat="1" applyFont="1" applyFill="1" applyBorder="1" applyAlignment="1">
      <alignment/>
    </xf>
    <xf numFmtId="0" fontId="43" fillId="33" borderId="0" xfId="0" applyFont="1" applyFill="1" applyBorder="1" applyAlignment="1">
      <alignment/>
    </xf>
    <xf numFmtId="0" fontId="18" fillId="0" borderId="0" xfId="0" applyFont="1" applyBorder="1" applyAlignment="1">
      <alignment/>
    </xf>
    <xf numFmtId="0" fontId="8" fillId="33" borderId="17" xfId="0" applyFont="1" applyFill="1" applyBorder="1" applyAlignment="1">
      <alignment horizontal="center" wrapText="1"/>
    </xf>
    <xf numFmtId="0" fontId="8" fillId="0" borderId="0" xfId="0" applyFont="1" applyBorder="1" applyAlignment="1">
      <alignment/>
    </xf>
    <xf numFmtId="0" fontId="27" fillId="33" borderId="11" xfId="0" applyFont="1" applyFill="1" applyBorder="1" applyAlignment="1">
      <alignment wrapText="1"/>
    </xf>
    <xf numFmtId="0" fontId="11" fillId="33" borderId="0" xfId="0" applyFont="1" applyFill="1" applyBorder="1" applyAlignment="1">
      <alignment horizontal="center"/>
    </xf>
    <xf numFmtId="0" fontId="15" fillId="33" borderId="0" xfId="0" applyFont="1" applyFill="1" applyBorder="1" applyAlignment="1">
      <alignment horizontal="center"/>
    </xf>
    <xf numFmtId="0" fontId="40" fillId="33" borderId="0" xfId="0" applyFont="1" applyFill="1" applyAlignment="1">
      <alignment horizontal="center"/>
    </xf>
    <xf numFmtId="0" fontId="24" fillId="33" borderId="17" xfId="0" applyFont="1" applyFill="1" applyBorder="1" applyAlignment="1">
      <alignment wrapText="1"/>
    </xf>
    <xf numFmtId="0" fontId="16" fillId="33" borderId="0" xfId="0" applyFont="1" applyFill="1" applyAlignment="1">
      <alignment/>
    </xf>
    <xf numFmtId="0" fontId="19" fillId="33" borderId="0" xfId="0" applyFont="1" applyFill="1" applyAlignment="1">
      <alignment/>
    </xf>
    <xf numFmtId="0" fontId="24" fillId="33" borderId="0" xfId="0" applyFont="1" applyFill="1" applyAlignment="1">
      <alignment/>
    </xf>
    <xf numFmtId="0" fontId="15" fillId="0" borderId="11" xfId="0" applyFont="1" applyFill="1" applyBorder="1" applyAlignment="1">
      <alignment/>
    </xf>
    <xf numFmtId="0" fontId="24" fillId="0" borderId="17" xfId="0" applyFont="1" applyFill="1" applyBorder="1" applyAlignment="1">
      <alignment wrapText="1"/>
    </xf>
    <xf numFmtId="0" fontId="15" fillId="0" borderId="17" xfId="0" applyFont="1" applyFill="1" applyBorder="1" applyAlignment="1">
      <alignment horizontal="center"/>
    </xf>
    <xf numFmtId="0" fontId="38" fillId="0" borderId="11" xfId="0" applyFont="1" applyFill="1" applyBorder="1" applyAlignment="1">
      <alignment wrapText="1"/>
    </xf>
    <xf numFmtId="186" fontId="27" fillId="33" borderId="11" xfId="0" applyNumberFormat="1" applyFont="1" applyFill="1" applyBorder="1" applyAlignment="1">
      <alignment horizontal="center"/>
    </xf>
    <xf numFmtId="0" fontId="7" fillId="33" borderId="0" xfId="0" applyFont="1" applyFill="1" applyBorder="1" applyAlignment="1">
      <alignment wrapText="1"/>
    </xf>
    <xf numFmtId="0" fontId="18" fillId="33" borderId="0" xfId="0" applyFont="1" applyFill="1" applyAlignment="1">
      <alignment horizontal="center"/>
    </xf>
    <xf numFmtId="0" fontId="18" fillId="33" borderId="0" xfId="0" applyFont="1" applyFill="1" applyAlignment="1">
      <alignment/>
    </xf>
    <xf numFmtId="0" fontId="11" fillId="33" borderId="0" xfId="0" applyFont="1" applyFill="1" applyAlignment="1">
      <alignment horizontal="left"/>
    </xf>
    <xf numFmtId="0" fontId="13" fillId="33" borderId="0" xfId="0" applyFont="1" applyFill="1" applyAlignment="1">
      <alignment/>
    </xf>
    <xf numFmtId="0" fontId="13" fillId="33" borderId="0" xfId="0" applyFont="1" applyFill="1" applyBorder="1" applyAlignment="1">
      <alignment/>
    </xf>
    <xf numFmtId="0" fontId="11" fillId="33" borderId="10" xfId="0" applyFont="1" applyFill="1" applyBorder="1" applyAlignment="1">
      <alignment/>
    </xf>
    <xf numFmtId="0" fontId="11" fillId="33" borderId="0" xfId="0" applyFont="1" applyFill="1" applyAlignment="1">
      <alignment horizontal="center" vertical="center" wrapText="1"/>
    </xf>
    <xf numFmtId="0" fontId="11" fillId="33" borderId="0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Continuous" wrapText="1"/>
    </xf>
    <xf numFmtId="0" fontId="19" fillId="33" borderId="0" xfId="0" applyFont="1" applyFill="1" applyAlignment="1">
      <alignment horizontal="center"/>
    </xf>
    <xf numFmtId="0" fontId="18" fillId="33" borderId="10" xfId="0" applyFont="1" applyFill="1" applyBorder="1" applyAlignment="1">
      <alignment horizontal="center"/>
    </xf>
    <xf numFmtId="0" fontId="19" fillId="33" borderId="10" xfId="0" applyFont="1" applyFill="1" applyBorder="1" applyAlignment="1">
      <alignment horizontal="center"/>
    </xf>
    <xf numFmtId="0" fontId="18" fillId="33" borderId="10" xfId="0" applyFont="1" applyFill="1" applyBorder="1" applyAlignment="1">
      <alignment/>
    </xf>
    <xf numFmtId="0" fontId="11" fillId="33" borderId="0" xfId="0" applyFont="1" applyFill="1" applyBorder="1" applyAlignment="1">
      <alignment horizontal="left"/>
    </xf>
    <xf numFmtId="0" fontId="23" fillId="0" borderId="11" xfId="0" applyFont="1" applyBorder="1" applyAlignment="1">
      <alignment horizontal="center" wrapText="1"/>
    </xf>
    <xf numFmtId="0" fontId="24" fillId="33" borderId="14" xfId="0" applyFont="1" applyFill="1" applyBorder="1" applyAlignment="1">
      <alignment horizontal="center"/>
    </xf>
    <xf numFmtId="186" fontId="11" fillId="34" borderId="11" xfId="0" applyNumberFormat="1" applyFont="1" applyFill="1" applyBorder="1" applyAlignment="1">
      <alignment horizontal="centerContinuous" wrapText="1"/>
    </xf>
    <xf numFmtId="0" fontId="11" fillId="34" borderId="11" xfId="0" applyFont="1" applyFill="1" applyBorder="1" applyAlignment="1">
      <alignment horizontal="centerContinuous" wrapText="1"/>
    </xf>
    <xf numFmtId="0" fontId="15" fillId="0" borderId="17" xfId="0" applyFont="1" applyFill="1" applyBorder="1" applyAlignment="1">
      <alignment horizontal="center" wrapText="1"/>
    </xf>
    <xf numFmtId="0" fontId="11" fillId="0" borderId="0" xfId="0" applyFont="1" applyFill="1" applyAlignment="1">
      <alignment horizontal="centerContinuous"/>
    </xf>
    <xf numFmtId="0" fontId="15" fillId="0" borderId="11" xfId="0" applyFont="1" applyFill="1" applyBorder="1" applyAlignment="1">
      <alignment horizontal="center"/>
    </xf>
    <xf numFmtId="186" fontId="14" fillId="0" borderId="11" xfId="0" applyNumberFormat="1" applyFont="1" applyFill="1" applyBorder="1" applyAlignment="1">
      <alignment horizontal="center"/>
    </xf>
    <xf numFmtId="0" fontId="14" fillId="33" borderId="38" xfId="0" applyFont="1" applyFill="1" applyBorder="1" applyAlignment="1">
      <alignment/>
    </xf>
    <xf numFmtId="0" fontId="14" fillId="33" borderId="13" xfId="0" applyFont="1" applyFill="1" applyBorder="1" applyAlignment="1">
      <alignment/>
    </xf>
    <xf numFmtId="0" fontId="14" fillId="33" borderId="14" xfId="0" applyFont="1" applyFill="1" applyBorder="1" applyAlignment="1">
      <alignment/>
    </xf>
    <xf numFmtId="0" fontId="14" fillId="0" borderId="0" xfId="0" applyFont="1" applyBorder="1" applyAlignment="1">
      <alignment/>
    </xf>
    <xf numFmtId="0" fontId="14" fillId="33" borderId="14" xfId="0" applyFont="1" applyFill="1" applyBorder="1" applyAlignment="1">
      <alignment horizontal="center"/>
    </xf>
    <xf numFmtId="0" fontId="14" fillId="36" borderId="11" xfId="0" applyFont="1" applyFill="1" applyBorder="1" applyAlignment="1">
      <alignment horizontal="center" wrapText="1"/>
    </xf>
    <xf numFmtId="0" fontId="14" fillId="36" borderId="0" xfId="0" applyFont="1" applyFill="1" applyBorder="1" applyAlignment="1">
      <alignment horizontal="centerContinuous" wrapText="1"/>
    </xf>
    <xf numFmtId="0" fontId="45" fillId="36" borderId="0" xfId="0" applyFont="1" applyFill="1" applyBorder="1" applyAlignment="1">
      <alignment horizontal="centerContinuous" wrapText="1"/>
    </xf>
    <xf numFmtId="0" fontId="34" fillId="36" borderId="0" xfId="0" applyFont="1" applyFill="1" applyAlignment="1">
      <alignment/>
    </xf>
    <xf numFmtId="0" fontId="34" fillId="0" borderId="0" xfId="0" applyFont="1" applyAlignment="1">
      <alignment/>
    </xf>
    <xf numFmtId="0" fontId="14" fillId="33" borderId="38" xfId="0" applyFont="1" applyFill="1" applyBorder="1" applyAlignment="1">
      <alignment horizontal="centerContinuous" wrapText="1"/>
    </xf>
    <xf numFmtId="0" fontId="11" fillId="37" borderId="0" xfId="0" applyFont="1" applyFill="1" applyAlignment="1">
      <alignment/>
    </xf>
    <xf numFmtId="0" fontId="11" fillId="37" borderId="10" xfId="0" applyFont="1" applyFill="1" applyBorder="1" applyAlignment="1">
      <alignment horizontal="centerContinuous" wrapText="1"/>
    </xf>
    <xf numFmtId="0" fontId="11" fillId="37" borderId="0" xfId="0" applyFont="1" applyFill="1" applyAlignment="1">
      <alignment horizontal="centerContinuous"/>
    </xf>
    <xf numFmtId="0" fontId="15" fillId="37" borderId="17" xfId="0" applyFont="1" applyFill="1" applyBorder="1" applyAlignment="1">
      <alignment horizontal="center"/>
    </xf>
    <xf numFmtId="0" fontId="11" fillId="37" borderId="11" xfId="0" applyFont="1" applyFill="1" applyBorder="1" applyAlignment="1">
      <alignment/>
    </xf>
    <xf numFmtId="0" fontId="11" fillId="37" borderId="11" xfId="0" applyFont="1" applyFill="1" applyBorder="1" applyAlignment="1">
      <alignment horizontal="center" wrapText="1"/>
    </xf>
    <xf numFmtId="186" fontId="19" fillId="37" borderId="11" xfId="0" applyNumberFormat="1" applyFont="1" applyFill="1" applyBorder="1" applyAlignment="1">
      <alignment horizontal="center"/>
    </xf>
    <xf numFmtId="186" fontId="11" fillId="37" borderId="11" xfId="0" applyNumberFormat="1" applyFont="1" applyFill="1" applyBorder="1" applyAlignment="1">
      <alignment horizontal="center"/>
    </xf>
    <xf numFmtId="186" fontId="14" fillId="37" borderId="11" xfId="0" applyNumberFormat="1" applyFont="1" applyFill="1" applyBorder="1" applyAlignment="1">
      <alignment horizontal="center"/>
    </xf>
    <xf numFmtId="0" fontId="11" fillId="37" borderId="0" xfId="0" applyFont="1" applyFill="1" applyBorder="1" applyAlignment="1">
      <alignment/>
    </xf>
    <xf numFmtId="0" fontId="15" fillId="37" borderId="11" xfId="0" applyFont="1" applyFill="1" applyBorder="1" applyAlignment="1">
      <alignment horizontal="center"/>
    </xf>
    <xf numFmtId="0" fontId="19" fillId="37" borderId="11" xfId="0" applyFont="1" applyFill="1" applyBorder="1" applyAlignment="1">
      <alignment horizontal="center"/>
    </xf>
    <xf numFmtId="0" fontId="15" fillId="37" borderId="11" xfId="0" applyFont="1" applyFill="1" applyBorder="1" applyAlignment="1">
      <alignment/>
    </xf>
    <xf numFmtId="0" fontId="11" fillId="37" borderId="11" xfId="0" applyFont="1" applyFill="1" applyBorder="1" applyAlignment="1">
      <alignment horizontal="center"/>
    </xf>
    <xf numFmtId="0" fontId="10" fillId="33" borderId="16" xfId="0" applyFont="1" applyFill="1" applyBorder="1" applyAlignment="1">
      <alignment horizontal="center" wrapText="1"/>
    </xf>
    <xf numFmtId="0" fontId="13" fillId="0" borderId="11" xfId="0" applyFont="1" applyBorder="1" applyAlignment="1">
      <alignment horizontal="center"/>
    </xf>
    <xf numFmtId="0" fontId="36" fillId="0" borderId="11" xfId="0" applyFont="1" applyBorder="1" applyAlignment="1">
      <alignment horizontal="left" wrapText="1"/>
    </xf>
    <xf numFmtId="0" fontId="13" fillId="0" borderId="11" xfId="0" applyFont="1" applyBorder="1" applyAlignment="1">
      <alignment horizontal="center" wrapText="1"/>
    </xf>
    <xf numFmtId="0" fontId="47" fillId="0" borderId="11" xfId="0" applyFont="1" applyBorder="1" applyAlignment="1">
      <alignment horizontal="center" wrapText="1"/>
    </xf>
    <xf numFmtId="186" fontId="13" fillId="0" borderId="11" xfId="0" applyNumberFormat="1" applyFont="1" applyBorder="1" applyAlignment="1">
      <alignment horizontal="center" wrapText="1"/>
    </xf>
    <xf numFmtId="0" fontId="13" fillId="0" borderId="0" xfId="0" applyFont="1" applyAlignment="1">
      <alignment wrapText="1"/>
    </xf>
    <xf numFmtId="0" fontId="46" fillId="0" borderId="11" xfId="0" applyFont="1" applyBorder="1" applyAlignment="1">
      <alignment horizontal="center" wrapText="1"/>
    </xf>
    <xf numFmtId="0" fontId="16" fillId="37" borderId="11" xfId="0" applyFont="1" applyFill="1" applyBorder="1" applyAlignment="1">
      <alignment wrapText="1"/>
    </xf>
    <xf numFmtId="0" fontId="23" fillId="37" borderId="11" xfId="0" applyFont="1" applyFill="1" applyBorder="1" applyAlignment="1">
      <alignment horizontal="center" wrapText="1"/>
    </xf>
    <xf numFmtId="0" fontId="22" fillId="37" borderId="11" xfId="0" applyFont="1" applyFill="1" applyBorder="1" applyAlignment="1">
      <alignment horizontal="center"/>
    </xf>
    <xf numFmtId="0" fontId="12" fillId="37" borderId="0" xfId="0" applyFont="1" applyFill="1" applyBorder="1" applyAlignment="1">
      <alignment horizontal="centerContinuous" wrapText="1"/>
    </xf>
    <xf numFmtId="0" fontId="39" fillId="37" borderId="11" xfId="0" applyFont="1" applyFill="1" applyBorder="1" applyAlignment="1">
      <alignment horizontal="center"/>
    </xf>
    <xf numFmtId="0" fontId="14" fillId="37" borderId="11" xfId="0" applyFont="1" applyFill="1" applyBorder="1" applyAlignment="1">
      <alignment horizontal="center"/>
    </xf>
    <xf numFmtId="0" fontId="11" fillId="37" borderId="0" xfId="0" applyFont="1" applyFill="1" applyAlignment="1">
      <alignment horizontal="center"/>
    </xf>
    <xf numFmtId="0" fontId="14" fillId="37" borderId="11" xfId="0" applyFont="1" applyFill="1" applyBorder="1" applyAlignment="1">
      <alignment wrapText="1"/>
    </xf>
    <xf numFmtId="0" fontId="24" fillId="37" borderId="17" xfId="0" applyFont="1" applyFill="1" applyBorder="1" applyAlignment="1">
      <alignment wrapText="1"/>
    </xf>
    <xf numFmtId="0" fontId="38" fillId="37" borderId="11" xfId="0" applyFont="1" applyFill="1" applyBorder="1" applyAlignment="1">
      <alignment wrapText="1"/>
    </xf>
    <xf numFmtId="0" fontId="11" fillId="37" borderId="0" xfId="0" applyFont="1" applyFill="1" applyBorder="1" applyAlignment="1">
      <alignment horizontal="centerContinuous" wrapText="1"/>
    </xf>
    <xf numFmtId="0" fontId="14" fillId="37" borderId="13" xfId="0" applyFont="1" applyFill="1" applyBorder="1" applyAlignment="1">
      <alignment horizontal="centerContinuous"/>
    </xf>
    <xf numFmtId="0" fontId="16" fillId="37" borderId="13" xfId="0" applyFont="1" applyFill="1" applyBorder="1" applyAlignment="1">
      <alignment horizontal="centerContinuous"/>
    </xf>
    <xf numFmtId="0" fontId="11" fillId="37" borderId="0" xfId="0" applyFont="1" applyFill="1" applyBorder="1" applyAlignment="1">
      <alignment horizontal="centerContinuous"/>
    </xf>
    <xf numFmtId="186" fontId="49" fillId="37" borderId="11" xfId="0" applyNumberFormat="1" applyFont="1" applyFill="1" applyBorder="1" applyAlignment="1">
      <alignment horizontal="center"/>
    </xf>
    <xf numFmtId="0" fontId="49" fillId="37" borderId="0" xfId="0" applyFont="1" applyFill="1" applyAlignment="1">
      <alignment/>
    </xf>
    <xf numFmtId="0" fontId="49" fillId="37" borderId="10" xfId="0" applyFont="1" applyFill="1" applyBorder="1" applyAlignment="1">
      <alignment horizontal="centerContinuous" wrapText="1"/>
    </xf>
    <xf numFmtId="0" fontId="49" fillId="37" borderId="0" xfId="0" applyFont="1" applyFill="1" applyAlignment="1">
      <alignment horizontal="centerContinuous"/>
    </xf>
    <xf numFmtId="0" fontId="48" fillId="37" borderId="17" xfId="0" applyFont="1" applyFill="1" applyBorder="1" applyAlignment="1">
      <alignment horizontal="center"/>
    </xf>
    <xf numFmtId="0" fontId="49" fillId="37" borderId="11" xfId="0" applyFont="1" applyFill="1" applyBorder="1" applyAlignment="1">
      <alignment/>
    </xf>
    <xf numFmtId="0" fontId="49" fillId="37" borderId="11" xfId="0" applyFont="1" applyFill="1" applyBorder="1" applyAlignment="1">
      <alignment horizontal="center" wrapText="1"/>
    </xf>
    <xf numFmtId="186" fontId="50" fillId="37" borderId="11" xfId="0" applyNumberFormat="1" applyFont="1" applyFill="1" applyBorder="1" applyAlignment="1">
      <alignment horizontal="center"/>
    </xf>
    <xf numFmtId="186" fontId="51" fillId="37" borderId="11" xfId="0" applyNumberFormat="1" applyFont="1" applyFill="1" applyBorder="1" applyAlignment="1">
      <alignment horizontal="center"/>
    </xf>
    <xf numFmtId="186" fontId="11" fillId="37" borderId="11" xfId="0" applyNumberFormat="1" applyFont="1" applyFill="1" applyBorder="1" applyAlignment="1">
      <alignment horizontal="center" wrapText="1"/>
    </xf>
    <xf numFmtId="0" fontId="108" fillId="38" borderId="11" xfId="0" applyFont="1" applyFill="1" applyBorder="1" applyAlignment="1">
      <alignment horizontal="center" wrapText="1"/>
    </xf>
    <xf numFmtId="0" fontId="11" fillId="0" borderId="0" xfId="0" applyFont="1" applyBorder="1" applyAlignment="1">
      <alignment horizontal="left"/>
    </xf>
    <xf numFmtId="0" fontId="10" fillId="33" borderId="0" xfId="0" applyFont="1" applyFill="1" applyBorder="1" applyAlignment="1">
      <alignment/>
    </xf>
    <xf numFmtId="0" fontId="52" fillId="33" borderId="0" xfId="0" applyFont="1" applyFill="1" applyBorder="1" applyAlignment="1">
      <alignment horizontal="left" vertical="top" wrapText="1"/>
    </xf>
    <xf numFmtId="0" fontId="10" fillId="33" borderId="0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centerContinuous" wrapText="1"/>
    </xf>
    <xf numFmtId="186" fontId="19" fillId="0" borderId="11" xfId="0" applyNumberFormat="1" applyFont="1" applyFill="1" applyBorder="1" applyAlignment="1">
      <alignment horizontal="center"/>
    </xf>
    <xf numFmtId="0" fontId="11" fillId="39" borderId="0" xfId="0" applyFont="1" applyFill="1" applyAlignment="1">
      <alignment/>
    </xf>
    <xf numFmtId="0" fontId="15" fillId="39" borderId="17" xfId="0" applyFont="1" applyFill="1" applyBorder="1" applyAlignment="1">
      <alignment horizontal="center"/>
    </xf>
    <xf numFmtId="186" fontId="19" fillId="39" borderId="11" xfId="0" applyNumberFormat="1" applyFont="1" applyFill="1" applyBorder="1" applyAlignment="1">
      <alignment horizontal="center"/>
    </xf>
    <xf numFmtId="186" fontId="11" fillId="39" borderId="11" xfId="0" applyNumberFormat="1" applyFont="1" applyFill="1" applyBorder="1" applyAlignment="1">
      <alignment horizontal="center"/>
    </xf>
    <xf numFmtId="186" fontId="14" fillId="39" borderId="11" xfId="0" applyNumberFormat="1" applyFont="1" applyFill="1" applyBorder="1" applyAlignment="1">
      <alignment horizontal="center"/>
    </xf>
    <xf numFmtId="196" fontId="11" fillId="33" borderId="11" xfId="0" applyNumberFormat="1" applyFont="1" applyFill="1" applyBorder="1" applyAlignment="1">
      <alignment horizontal="center" wrapText="1"/>
    </xf>
    <xf numFmtId="196" fontId="49" fillId="37" borderId="11" xfId="0" applyNumberFormat="1" applyFont="1" applyFill="1" applyBorder="1" applyAlignment="1">
      <alignment horizontal="center" wrapText="1"/>
    </xf>
    <xf numFmtId="196" fontId="11" fillId="0" borderId="11" xfId="0" applyNumberFormat="1" applyFont="1" applyFill="1" applyBorder="1" applyAlignment="1">
      <alignment/>
    </xf>
    <xf numFmtId="0" fontId="11" fillId="40" borderId="0" xfId="0" applyFont="1" applyFill="1" applyAlignment="1">
      <alignment/>
    </xf>
    <xf numFmtId="0" fontId="11" fillId="40" borderId="10" xfId="0" applyFont="1" applyFill="1" applyBorder="1" applyAlignment="1">
      <alignment horizontal="centerContinuous" wrapText="1"/>
    </xf>
    <xf numFmtId="0" fontId="10" fillId="40" borderId="0" xfId="0" applyFont="1" applyFill="1" applyBorder="1" applyAlignment="1">
      <alignment horizontal="center" wrapText="1"/>
    </xf>
    <xf numFmtId="0" fontId="11" fillId="40" borderId="0" xfId="0" applyFont="1" applyFill="1" applyBorder="1" applyAlignment="1">
      <alignment/>
    </xf>
    <xf numFmtId="0" fontId="15" fillId="40" borderId="0" xfId="0" applyFont="1" applyFill="1" applyAlignment="1">
      <alignment horizontal="center"/>
    </xf>
    <xf numFmtId="0" fontId="11" fillId="40" borderId="0" xfId="0" applyFont="1" applyFill="1" applyAlignment="1">
      <alignment horizontal="centerContinuous"/>
    </xf>
    <xf numFmtId="0" fontId="19" fillId="39" borderId="11" xfId="0" applyFont="1" applyFill="1" applyBorder="1" applyAlignment="1">
      <alignment horizontal="center"/>
    </xf>
    <xf numFmtId="0" fontId="11" fillId="39" borderId="11" xfId="0" applyFont="1" applyFill="1" applyBorder="1" applyAlignment="1">
      <alignment horizontal="center"/>
    </xf>
    <xf numFmtId="0" fontId="11" fillId="39" borderId="0" xfId="0" applyFont="1" applyFill="1" applyBorder="1" applyAlignment="1">
      <alignment/>
    </xf>
    <xf numFmtId="0" fontId="24" fillId="41" borderId="13" xfId="0" applyFont="1" applyFill="1" applyBorder="1" applyAlignment="1">
      <alignment wrapText="1"/>
    </xf>
    <xf numFmtId="0" fontId="24" fillId="41" borderId="14" xfId="0" applyFont="1" applyFill="1" applyBorder="1" applyAlignment="1">
      <alignment wrapText="1"/>
    </xf>
    <xf numFmtId="0" fontId="24" fillId="4" borderId="14" xfId="0" applyFont="1" applyFill="1" applyBorder="1" applyAlignment="1">
      <alignment/>
    </xf>
    <xf numFmtId="0" fontId="24" fillId="4" borderId="15" xfId="0" applyFont="1" applyFill="1" applyBorder="1" applyAlignment="1">
      <alignment/>
    </xf>
    <xf numFmtId="0" fontId="11" fillId="40" borderId="0" xfId="0" applyFont="1" applyFill="1" applyBorder="1" applyAlignment="1">
      <alignment horizontal="centerContinuous"/>
    </xf>
    <xf numFmtId="0" fontId="11" fillId="40" borderId="11" xfId="0" applyFont="1" applyFill="1" applyBorder="1" applyAlignment="1">
      <alignment/>
    </xf>
    <xf numFmtId="0" fontId="15" fillId="10" borderId="17" xfId="0" applyFont="1" applyFill="1" applyBorder="1" applyAlignment="1">
      <alignment horizontal="center"/>
    </xf>
    <xf numFmtId="0" fontId="11" fillId="10" borderId="11" xfId="0" applyFont="1" applyFill="1" applyBorder="1" applyAlignment="1">
      <alignment/>
    </xf>
    <xf numFmtId="196" fontId="11" fillId="10" borderId="11" xfId="0" applyNumberFormat="1" applyFont="1" applyFill="1" applyBorder="1" applyAlignment="1">
      <alignment horizontal="center" wrapText="1"/>
    </xf>
    <xf numFmtId="186" fontId="19" fillId="10" borderId="11" xfId="0" applyNumberFormat="1" applyFont="1" applyFill="1" applyBorder="1" applyAlignment="1">
      <alignment horizontal="center"/>
    </xf>
    <xf numFmtId="186" fontId="11" fillId="10" borderId="11" xfId="0" applyNumberFormat="1" applyFont="1" applyFill="1" applyBorder="1" applyAlignment="1">
      <alignment horizontal="center"/>
    </xf>
    <xf numFmtId="186" fontId="14" fillId="10" borderId="11" xfId="0" applyNumberFormat="1" applyFont="1" applyFill="1" applyBorder="1" applyAlignment="1">
      <alignment horizontal="center"/>
    </xf>
    <xf numFmtId="0" fontId="24" fillId="4" borderId="14" xfId="0" applyFont="1" applyFill="1" applyBorder="1" applyAlignment="1">
      <alignment wrapText="1"/>
    </xf>
    <xf numFmtId="0" fontId="15" fillId="33" borderId="16" xfId="0" applyFont="1" applyFill="1" applyBorder="1" applyAlignment="1">
      <alignment horizontal="center"/>
    </xf>
    <xf numFmtId="0" fontId="48" fillId="37" borderId="16" xfId="0" applyFont="1" applyFill="1" applyBorder="1" applyAlignment="1">
      <alignment horizontal="center" wrapText="1"/>
    </xf>
    <xf numFmtId="0" fontId="15" fillId="0" borderId="16" xfId="0" applyFont="1" applyFill="1" applyBorder="1" applyAlignment="1">
      <alignment horizontal="center" wrapText="1"/>
    </xf>
    <xf numFmtId="0" fontId="14" fillId="10" borderId="16" xfId="0" applyFont="1" applyFill="1" applyBorder="1" applyAlignment="1">
      <alignment horizontal="center" wrapText="1"/>
    </xf>
    <xf numFmtId="0" fontId="15" fillId="39" borderId="16" xfId="0" applyFont="1" applyFill="1" applyBorder="1" applyAlignment="1">
      <alignment horizontal="center" wrapText="1"/>
    </xf>
    <xf numFmtId="0" fontId="10" fillId="39" borderId="16" xfId="0" applyFont="1" applyFill="1" applyBorder="1" applyAlignment="1">
      <alignment horizontal="center" wrapText="1"/>
    </xf>
    <xf numFmtId="0" fontId="15" fillId="33" borderId="19" xfId="0" applyFont="1" applyFill="1" applyBorder="1" applyAlignment="1">
      <alignment horizontal="center"/>
    </xf>
    <xf numFmtId="0" fontId="15" fillId="33" borderId="20" xfId="0" applyFont="1" applyFill="1" applyBorder="1" applyAlignment="1">
      <alignment horizontal="center"/>
    </xf>
    <xf numFmtId="0" fontId="14" fillId="33" borderId="14" xfId="0" applyFont="1" applyFill="1" applyBorder="1" applyAlignment="1">
      <alignment wrapText="1"/>
    </xf>
    <xf numFmtId="0" fontId="14" fillId="33" borderId="15" xfId="0" applyFont="1" applyFill="1" applyBorder="1" applyAlignment="1">
      <alignment wrapText="1"/>
    </xf>
    <xf numFmtId="0" fontId="14" fillId="33" borderId="15" xfId="0" applyFont="1" applyFill="1" applyBorder="1" applyAlignment="1">
      <alignment/>
    </xf>
    <xf numFmtId="0" fontId="14" fillId="33" borderId="14" xfId="0" applyFont="1" applyFill="1" applyBorder="1" applyAlignment="1">
      <alignment/>
    </xf>
    <xf numFmtId="0" fontId="14" fillId="33" borderId="15" xfId="0" applyFont="1" applyFill="1" applyBorder="1" applyAlignment="1">
      <alignment/>
    </xf>
    <xf numFmtId="0" fontId="14" fillId="33" borderId="15" xfId="0" applyFont="1" applyFill="1" applyBorder="1" applyAlignment="1">
      <alignment horizontal="centerContinuous"/>
    </xf>
    <xf numFmtId="0" fontId="10" fillId="33" borderId="0" xfId="0" applyFont="1" applyFill="1" applyBorder="1" applyAlignment="1">
      <alignment horizontal="center"/>
    </xf>
    <xf numFmtId="0" fontId="39" fillId="33" borderId="11" xfId="0" applyFont="1" applyFill="1" applyBorder="1" applyAlignment="1">
      <alignment horizontal="center" wrapText="1"/>
    </xf>
    <xf numFmtId="0" fontId="15" fillId="37" borderId="11" xfId="0" applyFont="1" applyFill="1" applyBorder="1" applyAlignment="1">
      <alignment horizontal="center" wrapText="1"/>
    </xf>
    <xf numFmtId="0" fontId="10" fillId="33" borderId="13" xfId="0" applyFont="1" applyFill="1" applyBorder="1" applyAlignment="1">
      <alignment horizontal="center" wrapText="1"/>
    </xf>
    <xf numFmtId="0" fontId="10" fillId="33" borderId="11" xfId="0" applyFont="1" applyFill="1" applyBorder="1" applyAlignment="1">
      <alignment wrapText="1"/>
    </xf>
    <xf numFmtId="0" fontId="14" fillId="33" borderId="13" xfId="0" applyFont="1" applyFill="1" applyBorder="1" applyAlignment="1">
      <alignment horizontal="centerContinuous" wrapText="1"/>
    </xf>
    <xf numFmtId="0" fontId="14" fillId="33" borderId="14" xfId="0" applyFont="1" applyFill="1" applyBorder="1" applyAlignment="1">
      <alignment horizontal="centerContinuous" wrapText="1"/>
    </xf>
    <xf numFmtId="0" fontId="14" fillId="33" borderId="15" xfId="0" applyFont="1" applyFill="1" applyBorder="1" applyAlignment="1">
      <alignment horizontal="centerContinuous" wrapText="1"/>
    </xf>
    <xf numFmtId="0" fontId="53" fillId="33" borderId="0" xfId="0" applyFont="1" applyFill="1" applyAlignment="1">
      <alignment/>
    </xf>
    <xf numFmtId="0" fontId="11" fillId="33" borderId="40" xfId="0" applyFont="1" applyFill="1" applyBorder="1" applyAlignment="1">
      <alignment wrapText="1"/>
    </xf>
    <xf numFmtId="0" fontId="11" fillId="33" borderId="40" xfId="0" applyFont="1" applyFill="1" applyBorder="1" applyAlignment="1">
      <alignment/>
    </xf>
    <xf numFmtId="0" fontId="11" fillId="33" borderId="0" xfId="0" applyFont="1" applyFill="1" applyBorder="1" applyAlignment="1">
      <alignment horizontal="right" wrapText="1"/>
    </xf>
    <xf numFmtId="0" fontId="7" fillId="33" borderId="0" xfId="0" applyFont="1" applyFill="1" applyBorder="1" applyAlignment="1">
      <alignment/>
    </xf>
    <xf numFmtId="0" fontId="16" fillId="33" borderId="0" xfId="0" applyFont="1" applyFill="1" applyAlignment="1">
      <alignment/>
    </xf>
    <xf numFmtId="0" fontId="10" fillId="40" borderId="0" xfId="0" applyFont="1" applyFill="1" applyBorder="1" applyAlignment="1">
      <alignment/>
    </xf>
    <xf numFmtId="0" fontId="12" fillId="33" borderId="10" xfId="0" applyFont="1" applyFill="1" applyBorder="1" applyAlignment="1">
      <alignment horizontal="left"/>
    </xf>
    <xf numFmtId="0" fontId="11" fillId="33" borderId="10" xfId="0" applyFont="1" applyFill="1" applyBorder="1" applyAlignment="1">
      <alignment horizontal="center"/>
    </xf>
    <xf numFmtId="0" fontId="12" fillId="33" borderId="0" xfId="0" applyFont="1" applyFill="1" applyBorder="1" applyAlignment="1">
      <alignment horizontal="center"/>
    </xf>
    <xf numFmtId="0" fontId="11" fillId="33" borderId="0" xfId="0" applyFont="1" applyFill="1" applyAlignment="1">
      <alignment/>
    </xf>
    <xf numFmtId="0" fontId="12" fillId="33" borderId="41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0" fontId="14" fillId="33" borderId="42" xfId="0" applyFont="1" applyFill="1" applyBorder="1" applyAlignment="1">
      <alignment horizontal="centerContinuous"/>
    </xf>
    <xf numFmtId="0" fontId="14" fillId="33" borderId="43" xfId="0" applyFont="1" applyFill="1" applyBorder="1" applyAlignment="1">
      <alignment horizontal="centerContinuous"/>
    </xf>
    <xf numFmtId="0" fontId="14" fillId="33" borderId="0" xfId="0" applyFont="1" applyFill="1" applyAlignment="1">
      <alignment horizontal="centerContinuous" wrapText="1"/>
    </xf>
    <xf numFmtId="0" fontId="14" fillId="33" borderId="0" xfId="0" applyFont="1" applyFill="1" applyAlignment="1">
      <alignment horizontal="centerContinuous" vertical="center"/>
    </xf>
    <xf numFmtId="1" fontId="109" fillId="0" borderId="11" xfId="0" applyNumberFormat="1" applyFont="1" applyBorder="1" applyAlignment="1">
      <alignment horizontal="center"/>
    </xf>
    <xf numFmtId="0" fontId="39" fillId="42" borderId="16" xfId="0" applyFont="1" applyFill="1" applyBorder="1" applyAlignment="1">
      <alignment horizontal="center" wrapText="1"/>
    </xf>
    <xf numFmtId="0" fontId="15" fillId="42" borderId="20" xfId="0" applyFont="1" applyFill="1" applyBorder="1" applyAlignment="1">
      <alignment horizontal="center"/>
    </xf>
    <xf numFmtId="0" fontId="15" fillId="42" borderId="17" xfId="0" applyFont="1" applyFill="1" applyBorder="1" applyAlignment="1">
      <alignment horizontal="center"/>
    </xf>
    <xf numFmtId="0" fontId="11" fillId="42" borderId="11" xfId="0" applyFont="1" applyFill="1" applyBorder="1" applyAlignment="1">
      <alignment/>
    </xf>
    <xf numFmtId="196" fontId="11" fillId="42" borderId="11" xfId="0" applyNumberFormat="1" applyFont="1" applyFill="1" applyBorder="1" applyAlignment="1">
      <alignment horizontal="center" wrapText="1"/>
    </xf>
    <xf numFmtId="186" fontId="19" fillId="42" borderId="11" xfId="0" applyNumberFormat="1" applyFont="1" applyFill="1" applyBorder="1" applyAlignment="1">
      <alignment horizontal="center"/>
    </xf>
    <xf numFmtId="186" fontId="11" fillId="42" borderId="11" xfId="0" applyNumberFormat="1" applyFont="1" applyFill="1" applyBorder="1" applyAlignment="1">
      <alignment horizontal="center"/>
    </xf>
    <xf numFmtId="0" fontId="11" fillId="42" borderId="11" xfId="0" applyFont="1" applyFill="1" applyBorder="1" applyAlignment="1">
      <alignment horizontal="center" wrapText="1"/>
    </xf>
    <xf numFmtId="186" fontId="14" fillId="42" borderId="11" xfId="0" applyNumberFormat="1" applyFont="1" applyFill="1" applyBorder="1" applyAlignment="1">
      <alignment horizontal="center"/>
    </xf>
    <xf numFmtId="0" fontId="10" fillId="42" borderId="16" xfId="0" applyFont="1" applyFill="1" applyBorder="1" applyAlignment="1">
      <alignment horizontal="center" wrapText="1"/>
    </xf>
    <xf numFmtId="0" fontId="110" fillId="42" borderId="16" xfId="0" applyFont="1" applyFill="1" applyBorder="1" applyAlignment="1">
      <alignment horizontal="center" wrapText="1"/>
    </xf>
    <xf numFmtId="0" fontId="15" fillId="42" borderId="16" xfId="0" applyFont="1" applyFill="1" applyBorder="1" applyAlignment="1">
      <alignment horizontal="center" wrapText="1"/>
    </xf>
    <xf numFmtId="196" fontId="11" fillId="42" borderId="11" xfId="0" applyNumberFormat="1" applyFont="1" applyFill="1" applyBorder="1" applyAlignment="1">
      <alignment/>
    </xf>
    <xf numFmtId="0" fontId="19" fillId="42" borderId="11" xfId="0" applyFont="1" applyFill="1" applyBorder="1" applyAlignment="1">
      <alignment horizontal="center"/>
    </xf>
    <xf numFmtId="0" fontId="14" fillId="42" borderId="11" xfId="0" applyFont="1" applyFill="1" applyBorder="1" applyAlignment="1">
      <alignment horizontal="center"/>
    </xf>
    <xf numFmtId="0" fontId="15" fillId="42" borderId="11" xfId="0" applyFont="1" applyFill="1" applyBorder="1" applyAlignment="1">
      <alignment horizontal="center"/>
    </xf>
    <xf numFmtId="2" fontId="13" fillId="33" borderId="0" xfId="0" applyNumberFormat="1" applyFont="1" applyFill="1" applyAlignment="1">
      <alignment horizontal="centerContinuous" wrapText="1"/>
    </xf>
    <xf numFmtId="0" fontId="111" fillId="0" borderId="11" xfId="0" applyFont="1" applyBorder="1" applyAlignment="1">
      <alignment horizontal="center"/>
    </xf>
    <xf numFmtId="186" fontId="111" fillId="0" borderId="11" xfId="0" applyNumberFormat="1" applyFont="1" applyBorder="1" applyAlignment="1">
      <alignment horizontal="center"/>
    </xf>
    <xf numFmtId="2" fontId="108" fillId="0" borderId="11" xfId="0" applyNumberFormat="1" applyFont="1" applyBorder="1" applyAlignment="1">
      <alignment horizontal="center"/>
    </xf>
    <xf numFmtId="0" fontId="30" fillId="0" borderId="23" xfId="0" applyFont="1" applyBorder="1" applyAlignment="1">
      <alignment horizontal="center" vertical="center" wrapText="1"/>
    </xf>
    <xf numFmtId="0" fontId="57" fillId="0" borderId="11" xfId="114" applyFont="1" applyBorder="1" applyAlignment="1">
      <alignment horizontal="center" wrapText="1"/>
      <protection/>
    </xf>
    <xf numFmtId="0" fontId="11" fillId="33" borderId="44" xfId="0" applyFont="1" applyFill="1" applyBorder="1" applyAlignment="1">
      <alignment wrapText="1"/>
    </xf>
    <xf numFmtId="0" fontId="14" fillId="4" borderId="11" xfId="0" applyFont="1" applyFill="1" applyBorder="1" applyAlignment="1">
      <alignment horizontal="left" vertical="center" wrapText="1"/>
    </xf>
    <xf numFmtId="186" fontId="11" fillId="4" borderId="11" xfId="0" applyNumberFormat="1" applyFont="1" applyFill="1" applyBorder="1" applyAlignment="1">
      <alignment horizontal="center" vertical="center" wrapText="1"/>
    </xf>
    <xf numFmtId="0" fontId="46" fillId="0" borderId="11" xfId="0" applyFont="1" applyBorder="1" applyAlignment="1">
      <alignment horizontal="left" vertical="center" wrapText="1"/>
    </xf>
    <xf numFmtId="0" fontId="58" fillId="34" borderId="11" xfId="0" applyFont="1" applyFill="1" applyBorder="1" applyAlignment="1">
      <alignment wrapText="1"/>
    </xf>
    <xf numFmtId="0" fontId="14" fillId="33" borderId="37" xfId="0" applyFont="1" applyFill="1" applyBorder="1" applyAlignment="1">
      <alignment horizontal="centerContinuous" vertical="center"/>
    </xf>
    <xf numFmtId="0" fontId="30" fillId="0" borderId="45" xfId="0" applyFont="1" applyBorder="1" applyAlignment="1">
      <alignment horizontal="center" vertical="center" wrapText="1"/>
    </xf>
    <xf numFmtId="0" fontId="33" fillId="10" borderId="11" xfId="0" applyFont="1" applyFill="1" applyBorder="1" applyAlignment="1">
      <alignment horizontal="center"/>
    </xf>
    <xf numFmtId="0" fontId="33" fillId="10" borderId="11" xfId="0" applyFont="1" applyFill="1" applyBorder="1" applyAlignment="1">
      <alignment horizontal="center" wrapText="1"/>
    </xf>
    <xf numFmtId="186" fontId="33" fillId="10" borderId="11" xfId="0" applyNumberFormat="1" applyFont="1" applyFill="1" applyBorder="1" applyAlignment="1">
      <alignment horizontal="center"/>
    </xf>
    <xf numFmtId="0" fontId="15" fillId="0" borderId="11" xfId="0" applyFont="1" applyBorder="1" applyAlignment="1">
      <alignment horizontal="center" vertical="top" wrapText="1"/>
    </xf>
    <xf numFmtId="0" fontId="12" fillId="33" borderId="41" xfId="0" applyFont="1" applyFill="1" applyBorder="1" applyAlignment="1">
      <alignment wrapText="1"/>
    </xf>
    <xf numFmtId="0" fontId="18" fillId="33" borderId="0" xfId="0" applyFont="1" applyFill="1" applyBorder="1" applyAlignment="1">
      <alignment horizontal="centerContinuous" vertical="center" wrapText="1"/>
    </xf>
    <xf numFmtId="0" fontId="11" fillId="0" borderId="18" xfId="0" applyFont="1" applyBorder="1" applyAlignment="1">
      <alignment horizontal="center" wrapText="1"/>
    </xf>
    <xf numFmtId="0" fontId="11" fillId="0" borderId="43" xfId="0" applyFont="1" applyBorder="1" applyAlignment="1">
      <alignment horizontal="centerContinuous" wrapText="1"/>
    </xf>
    <xf numFmtId="0" fontId="11" fillId="0" borderId="18" xfId="0" applyFont="1" applyBorder="1" applyAlignment="1">
      <alignment horizontal="centerContinuous" wrapText="1"/>
    </xf>
    <xf numFmtId="0" fontId="30" fillId="0" borderId="18" xfId="0" applyFont="1" applyBorder="1" applyAlignment="1">
      <alignment horizontal="center"/>
    </xf>
    <xf numFmtId="0" fontId="16" fillId="0" borderId="10" xfId="0" applyFont="1" applyBorder="1" applyAlignment="1">
      <alignment horizontal="center" wrapText="1"/>
    </xf>
    <xf numFmtId="0" fontId="12" fillId="33" borderId="41" xfId="0" applyFont="1" applyFill="1" applyBorder="1" applyAlignment="1">
      <alignment horizontal="centerContinuous" wrapText="1"/>
    </xf>
    <xf numFmtId="0" fontId="59" fillId="33" borderId="0" xfId="0" applyFont="1" applyFill="1" applyBorder="1" applyAlignment="1">
      <alignment horizontal="centerContinuous" vertical="center" wrapText="1"/>
    </xf>
    <xf numFmtId="0" fontId="11" fillId="10" borderId="11" xfId="0" applyFont="1" applyFill="1" applyBorder="1" applyAlignment="1">
      <alignment horizontal="center"/>
    </xf>
    <xf numFmtId="0" fontId="11" fillId="10" borderId="11" xfId="0" applyFont="1" applyFill="1" applyBorder="1" applyAlignment="1">
      <alignment horizontal="center" wrapText="1"/>
    </xf>
    <xf numFmtId="0" fontId="36" fillId="10" borderId="11" xfId="0" applyFont="1" applyFill="1" applyBorder="1" applyAlignment="1">
      <alignment horizontal="left" wrapText="1"/>
    </xf>
    <xf numFmtId="0" fontId="25" fillId="10" borderId="11" xfId="0" applyFont="1" applyFill="1" applyBorder="1" applyAlignment="1">
      <alignment horizontal="center" wrapText="1"/>
    </xf>
    <xf numFmtId="0" fontId="18" fillId="0" borderId="15" xfId="0" applyFont="1" applyBorder="1" applyAlignment="1">
      <alignment horizontal="center"/>
    </xf>
    <xf numFmtId="0" fontId="13" fillId="33" borderId="0" xfId="0" applyFont="1" applyFill="1" applyBorder="1" applyAlignment="1">
      <alignment horizontal="centerContinuous" vertical="center" wrapText="1"/>
    </xf>
    <xf numFmtId="0" fontId="15" fillId="0" borderId="10" xfId="0" applyFont="1" applyBorder="1" applyAlignment="1">
      <alignment horizontal="center"/>
    </xf>
    <xf numFmtId="0" fontId="27" fillId="10" borderId="11" xfId="0" applyFont="1" applyFill="1" applyBorder="1" applyAlignment="1">
      <alignment horizontal="center"/>
    </xf>
    <xf numFmtId="0" fontId="20" fillId="0" borderId="11" xfId="0" applyFont="1" applyBorder="1" applyAlignment="1">
      <alignment horizontal="left" wrapText="1"/>
    </xf>
    <xf numFmtId="0" fontId="11" fillId="0" borderId="11" xfId="0" applyFont="1" applyBorder="1" applyAlignment="1">
      <alignment horizontal="left"/>
    </xf>
    <xf numFmtId="9" fontId="16" fillId="0" borderId="11" xfId="0" applyNumberFormat="1" applyFont="1" applyBorder="1" applyAlignment="1">
      <alignment horizontal="center"/>
    </xf>
    <xf numFmtId="0" fontId="112" fillId="0" borderId="11" xfId="0" applyFont="1" applyFill="1" applyBorder="1" applyAlignment="1">
      <alignment horizontal="center" vertical="center" wrapText="1"/>
    </xf>
    <xf numFmtId="0" fontId="112" fillId="0" borderId="11" xfId="0" applyFont="1" applyFill="1" applyBorder="1" applyAlignment="1">
      <alignment horizontal="left" vertical="top" wrapText="1"/>
    </xf>
    <xf numFmtId="0" fontId="113" fillId="0" borderId="11" xfId="0" applyFont="1" applyFill="1" applyBorder="1" applyAlignment="1">
      <alignment horizontal="center" vertical="top" wrapText="1"/>
    </xf>
    <xf numFmtId="186" fontId="25" fillId="0" borderId="11" xfId="95" applyNumberFormat="1" applyFont="1" applyFill="1" applyBorder="1" applyAlignment="1">
      <alignment horizontal="center" wrapText="1"/>
      <protection/>
    </xf>
    <xf numFmtId="186" fontId="114" fillId="0" borderId="11" xfId="95" applyNumberFormat="1" applyFont="1" applyFill="1" applyBorder="1" applyAlignment="1">
      <alignment horizontal="center" wrapText="1"/>
      <protection/>
    </xf>
    <xf numFmtId="186" fontId="11" fillId="33" borderId="44" xfId="0" applyNumberFormat="1" applyFont="1" applyFill="1" applyBorder="1" applyAlignment="1">
      <alignment wrapText="1"/>
    </xf>
    <xf numFmtId="0" fontId="15" fillId="33" borderId="0" xfId="0" applyFont="1" applyFill="1" applyBorder="1" applyAlignment="1">
      <alignment horizontal="left" vertical="center" wrapText="1"/>
    </xf>
    <xf numFmtId="0" fontId="11" fillId="33" borderId="0" xfId="0" applyFont="1" applyFill="1" applyBorder="1" applyAlignment="1">
      <alignment horizontal="left" vertical="center" wrapText="1"/>
    </xf>
    <xf numFmtId="0" fontId="11" fillId="33" borderId="0" xfId="0" applyFont="1" applyFill="1" applyAlignment="1">
      <alignment horizontal="left" vertical="center"/>
    </xf>
    <xf numFmtId="0" fontId="115" fillId="0" borderId="11" xfId="0" applyFont="1" applyFill="1" applyBorder="1" applyAlignment="1">
      <alignment horizontal="left" vertical="center"/>
    </xf>
    <xf numFmtId="0" fontId="112" fillId="0" borderId="11" xfId="0" applyFont="1" applyFill="1" applyBorder="1" applyAlignment="1">
      <alignment horizontal="center" vertical="center" wrapText="1"/>
    </xf>
    <xf numFmtId="0" fontId="114" fillId="0" borderId="0" xfId="0" applyFont="1" applyFill="1" applyAlignment="1">
      <alignment horizontal="left" vertical="center" wrapText="1"/>
    </xf>
    <xf numFmtId="0" fontId="15" fillId="6" borderId="17" xfId="0" applyFont="1" applyFill="1" applyBorder="1" applyAlignment="1">
      <alignment horizontal="center" wrapText="1"/>
    </xf>
    <xf numFmtId="0" fontId="48" fillId="6" borderId="17" xfId="0" applyFont="1" applyFill="1" applyBorder="1" applyAlignment="1">
      <alignment horizontal="center" wrapText="1"/>
    </xf>
    <xf numFmtId="0" fontId="48" fillId="6" borderId="11" xfId="0" applyFont="1" applyFill="1" applyBorder="1" applyAlignment="1">
      <alignment horizontal="center" wrapText="1"/>
    </xf>
    <xf numFmtId="0" fontId="116" fillId="38" borderId="0" xfId="0" applyFont="1" applyFill="1" applyAlignment="1">
      <alignment horizontal="center" wrapText="1"/>
    </xf>
    <xf numFmtId="0" fontId="112" fillId="0" borderId="17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0" fillId="34" borderId="15" xfId="114" applyFont="1" applyFill="1" applyBorder="1" applyAlignment="1">
      <alignment horizontal="center" vertical="center" wrapText="1"/>
      <protection/>
    </xf>
    <xf numFmtId="0" fontId="15" fillId="0" borderId="15" xfId="114" applyFont="1" applyFill="1" applyBorder="1" applyAlignment="1">
      <alignment horizontal="center" vertical="center" wrapText="1"/>
      <protection/>
    </xf>
    <xf numFmtId="0" fontId="10" fillId="34" borderId="15" xfId="0" applyFont="1" applyFill="1" applyBorder="1" applyAlignment="1">
      <alignment horizontal="center" vertical="center" wrapText="1"/>
    </xf>
    <xf numFmtId="0" fontId="15" fillId="4" borderId="15" xfId="0" applyFont="1" applyFill="1" applyBorder="1" applyAlignment="1">
      <alignment horizontal="center" vertical="center" wrapText="1"/>
    </xf>
    <xf numFmtId="49" fontId="41" fillId="0" borderId="46" xfId="0" applyNumberFormat="1" applyFont="1" applyFill="1" applyBorder="1" applyAlignment="1">
      <alignment horizontal="center" vertical="center" wrapText="1"/>
    </xf>
    <xf numFmtId="49" fontId="41" fillId="4" borderId="46" xfId="0" applyNumberFormat="1" applyFont="1" applyFill="1" applyBorder="1" applyAlignment="1">
      <alignment horizontal="center" vertical="center" wrapText="1"/>
    </xf>
    <xf numFmtId="0" fontId="113" fillId="0" borderId="12" xfId="0" applyFont="1" applyFill="1" applyBorder="1" applyAlignment="1">
      <alignment horizontal="center" vertical="top" wrapText="1"/>
    </xf>
    <xf numFmtId="0" fontId="11" fillId="0" borderId="39" xfId="0" applyFont="1" applyFill="1" applyBorder="1" applyAlignment="1">
      <alignment/>
    </xf>
    <xf numFmtId="0" fontId="11" fillId="0" borderId="46" xfId="0" applyFont="1" applyFill="1" applyBorder="1" applyAlignment="1">
      <alignment/>
    </xf>
    <xf numFmtId="0" fontId="11" fillId="0" borderId="16" xfId="0" applyFont="1" applyFill="1" applyBorder="1" applyAlignment="1">
      <alignment/>
    </xf>
    <xf numFmtId="0" fontId="11" fillId="0" borderId="17" xfId="0" applyFont="1" applyFill="1" applyBorder="1" applyAlignment="1">
      <alignment/>
    </xf>
    <xf numFmtId="0" fontId="11" fillId="0" borderId="12" xfId="0" applyFont="1" applyFill="1" applyBorder="1" applyAlignment="1">
      <alignment/>
    </xf>
    <xf numFmtId="0" fontId="14" fillId="33" borderId="17" xfId="0" applyFont="1" applyFill="1" applyBorder="1" applyAlignment="1">
      <alignment/>
    </xf>
    <xf numFmtId="0" fontId="12" fillId="33" borderId="0" xfId="0" applyFont="1" applyFill="1" applyBorder="1" applyAlignment="1">
      <alignment wrapText="1"/>
    </xf>
    <xf numFmtId="0" fontId="30" fillId="0" borderId="18" xfId="0" applyFont="1" applyBorder="1" applyAlignment="1">
      <alignment horizontal="center" vertical="center" wrapText="1"/>
    </xf>
    <xf numFmtId="0" fontId="25" fillId="33" borderId="11" xfId="0" applyFont="1" applyFill="1" applyBorder="1" applyAlignment="1">
      <alignment wrapText="1"/>
    </xf>
    <xf numFmtId="0" fontId="14" fillId="0" borderId="11" xfId="0" applyFont="1" applyFill="1" applyBorder="1" applyAlignment="1">
      <alignment horizontal="center"/>
    </xf>
    <xf numFmtId="0" fontId="36" fillId="0" borderId="11" xfId="0" applyFont="1" applyFill="1" applyBorder="1" applyAlignment="1">
      <alignment wrapText="1"/>
    </xf>
    <xf numFmtId="0" fontId="14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12" fillId="0" borderId="10" xfId="0" applyFont="1" applyFill="1" applyBorder="1" applyAlignment="1">
      <alignment horizontal="left" wrapText="1"/>
    </xf>
    <xf numFmtId="0" fontId="52" fillId="0" borderId="0" xfId="0" applyFont="1" applyFill="1" applyBorder="1" applyAlignment="1">
      <alignment horizontal="left" vertical="top" wrapText="1"/>
    </xf>
    <xf numFmtId="0" fontId="24" fillId="0" borderId="11" xfId="0" applyFont="1" applyFill="1" applyBorder="1" applyAlignment="1">
      <alignment wrapText="1"/>
    </xf>
    <xf numFmtId="0" fontId="36" fillId="0" borderId="0" xfId="0" applyFont="1" applyBorder="1" applyAlignment="1">
      <alignment/>
    </xf>
    <xf numFmtId="0" fontId="32" fillId="0" borderId="0" xfId="0" applyFont="1" applyFill="1" applyBorder="1" applyAlignment="1">
      <alignment horizontal="centerContinuous" wrapText="1"/>
    </xf>
    <xf numFmtId="0" fontId="24" fillId="0" borderId="13" xfId="0" applyFont="1" applyFill="1" applyBorder="1" applyAlignment="1">
      <alignment wrapText="1"/>
    </xf>
    <xf numFmtId="0" fontId="15" fillId="0" borderId="20" xfId="0" applyFont="1" applyFill="1" applyBorder="1" applyAlignment="1">
      <alignment horizontal="center"/>
    </xf>
    <xf numFmtId="0" fontId="25" fillId="0" borderId="17" xfId="0" applyFont="1" applyFill="1" applyBorder="1" applyAlignment="1">
      <alignment/>
    </xf>
    <xf numFmtId="0" fontId="36" fillId="0" borderId="0" xfId="0" applyFont="1" applyFill="1" applyBorder="1" applyAlignment="1">
      <alignment/>
    </xf>
    <xf numFmtId="0" fontId="16" fillId="33" borderId="0" xfId="0" applyFont="1" applyFill="1" applyBorder="1" applyAlignment="1">
      <alignment horizontal="center" wrapText="1"/>
    </xf>
    <xf numFmtId="0" fontId="11" fillId="0" borderId="41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5" fillId="38" borderId="0" xfId="0" applyFont="1" applyFill="1" applyBorder="1" applyAlignment="1">
      <alignment horizontal="center"/>
    </xf>
    <xf numFmtId="0" fontId="16" fillId="0" borderId="0" xfId="0" applyFont="1" applyBorder="1" applyAlignment="1">
      <alignment/>
    </xf>
    <xf numFmtId="0" fontId="114" fillId="0" borderId="0" xfId="0" applyFont="1" applyFill="1" applyAlignment="1">
      <alignment horizontal="left" vertical="center" wrapText="1"/>
    </xf>
    <xf numFmtId="0" fontId="10" fillId="40" borderId="0" xfId="0" applyFont="1" applyFill="1" applyBorder="1" applyAlignment="1">
      <alignment horizontal="center" wrapText="1"/>
    </xf>
    <xf numFmtId="0" fontId="24" fillId="33" borderId="44" xfId="0" applyFont="1" applyFill="1" applyBorder="1" applyAlignment="1">
      <alignment horizontal="center"/>
    </xf>
    <xf numFmtId="0" fontId="24" fillId="33" borderId="13" xfId="0" applyFont="1" applyFill="1" applyBorder="1" applyAlignment="1">
      <alignment/>
    </xf>
    <xf numFmtId="0" fontId="24" fillId="33" borderId="14" xfId="0" applyFont="1" applyFill="1" applyBorder="1" applyAlignment="1">
      <alignment/>
    </xf>
    <xf numFmtId="0" fontId="24" fillId="33" borderId="15" xfId="0" applyFont="1" applyFill="1" applyBorder="1" applyAlignment="1">
      <alignment/>
    </xf>
    <xf numFmtId="0" fontId="11" fillId="0" borderId="15" xfId="0" applyFont="1" applyBorder="1" applyAlignment="1">
      <alignment/>
    </xf>
    <xf numFmtId="0" fontId="11" fillId="33" borderId="15" xfId="0" applyFont="1" applyFill="1" applyBorder="1" applyAlignment="1">
      <alignment/>
    </xf>
    <xf numFmtId="0" fontId="15" fillId="33" borderId="32" xfId="0" applyFont="1" applyFill="1" applyBorder="1" applyAlignment="1">
      <alignment horizontal="center"/>
    </xf>
    <xf numFmtId="0" fontId="11" fillId="42" borderId="11" xfId="0" applyFont="1" applyFill="1" applyBorder="1" applyAlignment="1">
      <alignment horizontal="center"/>
    </xf>
    <xf numFmtId="0" fontId="15" fillId="42" borderId="11" xfId="0" applyFont="1" applyFill="1" applyBorder="1" applyAlignment="1">
      <alignment/>
    </xf>
    <xf numFmtId="0" fontId="14" fillId="33" borderId="13" xfId="0" applyFont="1" applyFill="1" applyBorder="1" applyAlignment="1">
      <alignment wrapText="1"/>
    </xf>
    <xf numFmtId="0" fontId="16" fillId="33" borderId="47" xfId="0" applyFont="1" applyFill="1" applyBorder="1" applyAlignment="1">
      <alignment/>
    </xf>
    <xf numFmtId="0" fontId="14" fillId="33" borderId="0" xfId="0" applyFont="1" applyFill="1" applyBorder="1" applyAlignment="1">
      <alignment/>
    </xf>
    <xf numFmtId="0" fontId="12" fillId="33" borderId="40" xfId="0" applyFont="1" applyFill="1" applyBorder="1" applyAlignment="1">
      <alignment horizontal="centerContinuous" wrapText="1"/>
    </xf>
    <xf numFmtId="0" fontId="11" fillId="33" borderId="11" xfId="0" applyFont="1" applyFill="1" applyBorder="1" applyAlignment="1">
      <alignment horizontal="left" indent="2"/>
    </xf>
    <xf numFmtId="0" fontId="11" fillId="12" borderId="11" xfId="0" applyFont="1" applyFill="1" applyBorder="1" applyAlignment="1">
      <alignment horizontal="center"/>
    </xf>
    <xf numFmtId="0" fontId="11" fillId="12" borderId="11" xfId="0" applyFont="1" applyFill="1" applyBorder="1" applyAlignment="1">
      <alignment horizontal="left" indent="2"/>
    </xf>
    <xf numFmtId="0" fontId="117" fillId="0" borderId="0" xfId="0" applyFont="1" applyAlignment="1">
      <alignment horizontal="justify" vertical="center"/>
    </xf>
    <xf numFmtId="0" fontId="117" fillId="0" borderId="0" xfId="0" applyFont="1" applyAlignment="1">
      <alignment/>
    </xf>
    <xf numFmtId="0" fontId="11" fillId="40" borderId="11" xfId="0" applyFont="1" applyFill="1" applyBorder="1" applyAlignment="1">
      <alignment horizontal="center"/>
    </xf>
    <xf numFmtId="0" fontId="118" fillId="33" borderId="11" xfId="0" applyFont="1" applyFill="1" applyBorder="1" applyAlignment="1">
      <alignment/>
    </xf>
    <xf numFmtId="0" fontId="108" fillId="33" borderId="11" xfId="0" applyFont="1" applyFill="1" applyBorder="1" applyAlignment="1">
      <alignment/>
    </xf>
    <xf numFmtId="0" fontId="14" fillId="33" borderId="11" xfId="0" applyFont="1" applyFill="1" applyBorder="1" applyAlignment="1">
      <alignment vertical="center" wrapText="1"/>
    </xf>
    <xf numFmtId="0" fontId="112" fillId="0" borderId="15" xfId="0" applyFont="1" applyFill="1" applyBorder="1" applyAlignment="1">
      <alignment horizontal="center" vertical="center" wrapText="1"/>
    </xf>
    <xf numFmtId="0" fontId="119" fillId="0" borderId="12" xfId="0" applyFont="1" applyFill="1" applyBorder="1" applyAlignment="1">
      <alignment horizontal="left" vertical="top" wrapText="1"/>
    </xf>
    <xf numFmtId="0" fontId="13" fillId="0" borderId="0" xfId="0" applyFont="1" applyFill="1" applyAlignment="1">
      <alignment horizontal="center"/>
    </xf>
    <xf numFmtId="0" fontId="13" fillId="0" borderId="0" xfId="0" applyFont="1" applyFill="1" applyAlignment="1">
      <alignment/>
    </xf>
    <xf numFmtId="0" fontId="10" fillId="40" borderId="0" xfId="0" applyFont="1" applyFill="1" applyBorder="1" applyAlignment="1">
      <alignment wrapText="1"/>
    </xf>
    <xf numFmtId="0" fontId="11" fillId="0" borderId="12" xfId="0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0" fontId="36" fillId="0" borderId="11" xfId="0" applyFont="1" applyBorder="1" applyAlignment="1">
      <alignment vertical="center" wrapText="1"/>
    </xf>
    <xf numFmtId="0" fontId="19" fillId="43" borderId="12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0" fontId="11" fillId="40" borderId="11" xfId="0" applyFont="1" applyFill="1" applyBorder="1" applyAlignment="1">
      <alignment horizontal="center" vertical="center" wrapText="1"/>
    </xf>
    <xf numFmtId="186" fontId="25" fillId="0" borderId="11" xfId="0" applyNumberFormat="1" applyFont="1" applyBorder="1" applyAlignment="1">
      <alignment horizontal="center" vertical="center" wrapText="1"/>
    </xf>
    <xf numFmtId="0" fontId="11" fillId="37" borderId="13" xfId="0" applyFont="1" applyFill="1" applyBorder="1" applyAlignment="1">
      <alignment/>
    </xf>
    <xf numFmtId="0" fontId="11" fillId="0" borderId="11" xfId="0" applyFont="1" applyFill="1" applyBorder="1" applyAlignment="1">
      <alignment horizontal="center" vertical="center" wrapText="1"/>
    </xf>
    <xf numFmtId="186" fontId="14" fillId="40" borderId="11" xfId="0" applyNumberFormat="1" applyFont="1" applyFill="1" applyBorder="1" applyAlignment="1">
      <alignment horizontal="center" vertical="center" wrapText="1"/>
    </xf>
    <xf numFmtId="0" fontId="12" fillId="40" borderId="10" xfId="0" applyFont="1" applyFill="1" applyBorder="1" applyAlignment="1">
      <alignment horizontal="centerContinuous" wrapText="1"/>
    </xf>
    <xf numFmtId="0" fontId="12" fillId="33" borderId="10" xfId="0" applyFont="1" applyFill="1" applyBorder="1" applyAlignment="1">
      <alignment/>
    </xf>
    <xf numFmtId="0" fontId="15" fillId="33" borderId="48" xfId="0" applyFont="1" applyFill="1" applyBorder="1" applyAlignment="1">
      <alignment horizontal="center"/>
    </xf>
    <xf numFmtId="0" fontId="19" fillId="40" borderId="13" xfId="0" applyFont="1" applyFill="1" applyBorder="1" applyAlignment="1">
      <alignment horizontal="justify" vertical="center" wrapText="1"/>
    </xf>
    <xf numFmtId="0" fontId="11" fillId="33" borderId="11" xfId="0" applyFont="1" applyFill="1" applyBorder="1" applyAlignment="1">
      <alignment horizontal="centerContinuous" vertical="center" wrapText="1"/>
    </xf>
    <xf numFmtId="0" fontId="13" fillId="0" borderId="14" xfId="0" applyFont="1" applyBorder="1" applyAlignment="1">
      <alignment horizontal="centerContinuous"/>
    </xf>
    <xf numFmtId="0" fontId="13" fillId="0" borderId="15" xfId="0" applyFont="1" applyBorder="1" applyAlignment="1">
      <alignment horizontal="centerContinuous"/>
    </xf>
    <xf numFmtId="0" fontId="13" fillId="0" borderId="11" xfId="0" applyFont="1" applyBorder="1" applyAlignment="1">
      <alignment/>
    </xf>
    <xf numFmtId="0" fontId="38" fillId="0" borderId="0" xfId="0" applyFont="1" applyAlignment="1">
      <alignment horizontal="centerContinuous" vertical="top" wrapText="1"/>
    </xf>
    <xf numFmtId="0" fontId="38" fillId="0" borderId="0" xfId="0" applyFont="1" applyAlignment="1">
      <alignment horizontal="centerContinuous" wrapText="1"/>
    </xf>
    <xf numFmtId="0" fontId="52" fillId="33" borderId="0" xfId="0" applyFont="1" applyFill="1" applyBorder="1" applyAlignment="1">
      <alignment horizontal="centerContinuous" wrapText="1"/>
    </xf>
    <xf numFmtId="0" fontId="24" fillId="33" borderId="11" xfId="0" applyFont="1" applyFill="1" applyBorder="1" applyAlignment="1">
      <alignment horizontal="center" wrapText="1"/>
    </xf>
    <xf numFmtId="0" fontId="16" fillId="33" borderId="11" xfId="0" applyFont="1" applyFill="1" applyBorder="1" applyAlignment="1">
      <alignment wrapText="1"/>
    </xf>
    <xf numFmtId="0" fontId="16" fillId="33" borderId="17" xfId="0" applyFont="1" applyFill="1" applyBorder="1" applyAlignment="1">
      <alignment wrapText="1"/>
    </xf>
    <xf numFmtId="9" fontId="15" fillId="0" borderId="17" xfId="0" applyNumberFormat="1" applyFont="1" applyFill="1" applyBorder="1" applyAlignment="1">
      <alignment horizontal="center"/>
    </xf>
    <xf numFmtId="0" fontId="16" fillId="33" borderId="17" xfId="0" applyFont="1" applyFill="1" applyBorder="1" applyAlignment="1">
      <alignment horizontal="center"/>
    </xf>
    <xf numFmtId="186" fontId="15" fillId="33" borderId="17" xfId="42" applyNumberFormat="1" applyFont="1" applyFill="1" applyBorder="1" applyAlignment="1">
      <alignment horizontal="center"/>
    </xf>
    <xf numFmtId="186" fontId="15" fillId="37" borderId="11" xfId="42" applyNumberFormat="1" applyFont="1" applyFill="1" applyBorder="1" applyAlignment="1">
      <alignment horizontal="center"/>
    </xf>
    <xf numFmtId="186" fontId="19" fillId="33" borderId="11" xfId="42" applyNumberFormat="1" applyFont="1" applyFill="1" applyBorder="1" applyAlignment="1">
      <alignment horizontal="center"/>
    </xf>
    <xf numFmtId="186" fontId="11" fillId="33" borderId="11" xfId="42" applyNumberFormat="1" applyFont="1" applyFill="1" applyBorder="1" applyAlignment="1">
      <alignment horizontal="center" wrapText="1"/>
    </xf>
    <xf numFmtId="186" fontId="14" fillId="33" borderId="11" xfId="42" applyNumberFormat="1" applyFont="1" applyFill="1" applyBorder="1" applyAlignment="1">
      <alignment horizontal="center"/>
    </xf>
    <xf numFmtId="186" fontId="11" fillId="33" borderId="11" xfId="42" applyNumberFormat="1" applyFont="1" applyFill="1" applyBorder="1" applyAlignment="1">
      <alignment/>
    </xf>
    <xf numFmtId="186" fontId="38" fillId="33" borderId="11" xfId="0" applyNumberFormat="1" applyFont="1" applyFill="1" applyBorder="1" applyAlignment="1">
      <alignment horizontal="center"/>
    </xf>
    <xf numFmtId="186" fontId="19" fillId="37" borderId="11" xfId="42" applyNumberFormat="1" applyFont="1" applyFill="1" applyBorder="1" applyAlignment="1">
      <alignment horizontal="center"/>
    </xf>
    <xf numFmtId="186" fontId="15" fillId="33" borderId="11" xfId="42" applyNumberFormat="1" applyFont="1" applyFill="1" applyBorder="1" applyAlignment="1">
      <alignment/>
    </xf>
    <xf numFmtId="186" fontId="15" fillId="37" borderId="11" xfId="42" applyNumberFormat="1" applyFont="1" applyFill="1" applyBorder="1" applyAlignment="1">
      <alignment/>
    </xf>
    <xf numFmtId="186" fontId="11" fillId="33" borderId="11" xfId="42" applyNumberFormat="1" applyFont="1" applyFill="1" applyBorder="1" applyAlignment="1">
      <alignment horizontal="center"/>
    </xf>
    <xf numFmtId="9" fontId="15" fillId="40" borderId="17" xfId="112" applyNumberFormat="1" applyFont="1" applyFill="1" applyBorder="1" applyAlignment="1">
      <alignment horizontal="center"/>
      <protection/>
    </xf>
    <xf numFmtId="186" fontId="38" fillId="33" borderId="11" xfId="42" applyNumberFormat="1" applyFont="1" applyFill="1" applyBorder="1" applyAlignment="1">
      <alignment wrapText="1"/>
    </xf>
    <xf numFmtId="186" fontId="38" fillId="37" borderId="11" xfId="42" applyNumberFormat="1" applyFont="1" applyFill="1" applyBorder="1" applyAlignment="1">
      <alignment wrapText="1"/>
    </xf>
    <xf numFmtId="197" fontId="11" fillId="33" borderId="11" xfId="42" applyNumberFormat="1" applyFont="1" applyFill="1" applyBorder="1" applyAlignment="1">
      <alignment/>
    </xf>
    <xf numFmtId="197" fontId="11" fillId="37" borderId="11" xfId="42" applyNumberFormat="1" applyFont="1" applyFill="1" applyBorder="1" applyAlignment="1">
      <alignment/>
    </xf>
    <xf numFmtId="197" fontId="19" fillId="33" borderId="11" xfId="42" applyNumberFormat="1" applyFont="1" applyFill="1" applyBorder="1" applyAlignment="1">
      <alignment horizontal="center"/>
    </xf>
    <xf numFmtId="197" fontId="14" fillId="33" borderId="11" xfId="42" applyNumberFormat="1" applyFont="1" applyFill="1" applyBorder="1" applyAlignment="1">
      <alignment horizontal="center"/>
    </xf>
    <xf numFmtId="197" fontId="14" fillId="37" borderId="11" xfId="42" applyNumberFormat="1" applyFont="1" applyFill="1" applyBorder="1" applyAlignment="1">
      <alignment horizontal="center"/>
    </xf>
    <xf numFmtId="0" fontId="10" fillId="40" borderId="0" xfId="0" applyFont="1" applyFill="1" applyBorder="1" applyAlignment="1">
      <alignment horizontal="center" wrapText="1"/>
    </xf>
    <xf numFmtId="0" fontId="15" fillId="0" borderId="11" xfId="0" applyFont="1" applyFill="1" applyBorder="1" applyAlignment="1">
      <alignment horizontal="center" wrapText="1"/>
    </xf>
    <xf numFmtId="0" fontId="46" fillId="0" borderId="0" xfId="0" applyFont="1" applyAlignment="1">
      <alignment wrapText="1"/>
    </xf>
    <xf numFmtId="1" fontId="11" fillId="0" borderId="11" xfId="0" applyNumberFormat="1" applyFont="1" applyFill="1" applyBorder="1" applyAlignment="1">
      <alignment horizontal="center" wrapText="1"/>
    </xf>
    <xf numFmtId="0" fontId="12" fillId="37" borderId="10" xfId="0" applyFont="1" applyFill="1" applyBorder="1" applyAlignment="1">
      <alignment horizontal="centerContinuous" wrapText="1"/>
    </xf>
    <xf numFmtId="0" fontId="10" fillId="33" borderId="10" xfId="0" applyFont="1" applyFill="1" applyBorder="1" applyAlignment="1">
      <alignment wrapText="1"/>
    </xf>
    <xf numFmtId="0" fontId="11" fillId="0" borderId="10" xfId="0" applyFont="1" applyBorder="1" applyAlignment="1">
      <alignment/>
    </xf>
    <xf numFmtId="0" fontId="11" fillId="33" borderId="10" xfId="0" applyFont="1" applyFill="1" applyBorder="1" applyAlignment="1">
      <alignment horizontal="left" wrapText="1"/>
    </xf>
    <xf numFmtId="0" fontId="10" fillId="33" borderId="10" xfId="0" applyFont="1" applyFill="1" applyBorder="1" applyAlignment="1">
      <alignment/>
    </xf>
    <xf numFmtId="186" fontId="11" fillId="4" borderId="11" xfId="0" applyNumberFormat="1" applyFont="1" applyFill="1" applyBorder="1" applyAlignment="1">
      <alignment horizontal="center" vertical="center" wrapText="1"/>
    </xf>
    <xf numFmtId="0" fontId="10" fillId="40" borderId="0" xfId="0" applyFont="1" applyFill="1" applyBorder="1" applyAlignment="1">
      <alignment wrapText="1"/>
    </xf>
    <xf numFmtId="0" fontId="52" fillId="33" borderId="10" xfId="0" applyFont="1" applyFill="1" applyBorder="1" applyAlignment="1">
      <alignment horizontal="left" wrapText="1"/>
    </xf>
    <xf numFmtId="0" fontId="118" fillId="0" borderId="0" xfId="0" applyFont="1" applyAlignment="1">
      <alignment horizontal="right" vertical="center"/>
    </xf>
    <xf numFmtId="0" fontId="118" fillId="0" borderId="0" xfId="0" applyFont="1" applyAlignment="1">
      <alignment/>
    </xf>
    <xf numFmtId="186" fontId="25" fillId="0" borderId="11" xfId="0" applyNumberFormat="1" applyFont="1" applyBorder="1" applyAlignment="1">
      <alignment horizontal="center"/>
    </xf>
    <xf numFmtId="0" fontId="25" fillId="0" borderId="11" xfId="0" applyFont="1" applyBorder="1" applyAlignment="1">
      <alignment/>
    </xf>
    <xf numFmtId="186" fontId="14" fillId="0" borderId="11" xfId="0" applyNumberFormat="1" applyFont="1" applyBorder="1" applyAlignment="1">
      <alignment horizontal="center"/>
    </xf>
    <xf numFmtId="0" fontId="16" fillId="4" borderId="11" xfId="0" applyFont="1" applyFill="1" applyBorder="1" applyAlignment="1">
      <alignment horizontal="center"/>
    </xf>
    <xf numFmtId="0" fontId="14" fillId="4" borderId="14" xfId="0" applyFont="1" applyFill="1" applyBorder="1" applyAlignment="1">
      <alignment horizontal="left" wrapText="1"/>
    </xf>
    <xf numFmtId="0" fontId="11" fillId="4" borderId="11" xfId="0" applyFont="1" applyFill="1" applyBorder="1" applyAlignment="1">
      <alignment/>
    </xf>
    <xf numFmtId="186" fontId="14" fillId="4" borderId="11" xfId="0" applyNumberFormat="1" applyFont="1" applyFill="1" applyBorder="1" applyAlignment="1">
      <alignment horizontal="center"/>
    </xf>
    <xf numFmtId="0" fontId="11" fillId="0" borderId="13" xfId="0" applyFont="1" applyBorder="1" applyAlignment="1">
      <alignment/>
    </xf>
    <xf numFmtId="0" fontId="120" fillId="44" borderId="49" xfId="0" applyFont="1" applyFill="1" applyBorder="1" applyAlignment="1">
      <alignment vertical="center"/>
    </xf>
    <xf numFmtId="0" fontId="121" fillId="44" borderId="49" xfId="0" applyFont="1" applyFill="1" applyBorder="1" applyAlignment="1">
      <alignment horizontal="center" vertical="center" wrapText="1"/>
    </xf>
    <xf numFmtId="0" fontId="120" fillId="44" borderId="49" xfId="0" applyFont="1" applyFill="1" applyBorder="1" applyAlignment="1">
      <alignment vertical="center" wrapText="1"/>
    </xf>
    <xf numFmtId="0" fontId="120" fillId="44" borderId="50" xfId="0" applyFont="1" applyFill="1" applyBorder="1" applyAlignment="1">
      <alignment vertical="center"/>
    </xf>
    <xf numFmtId="0" fontId="121" fillId="44" borderId="51" xfId="0" applyFont="1" applyFill="1" applyBorder="1" applyAlignment="1">
      <alignment vertical="center" wrapText="1"/>
    </xf>
    <xf numFmtId="0" fontId="121" fillId="44" borderId="11" xfId="0" applyFont="1" applyFill="1" applyBorder="1" applyAlignment="1">
      <alignment horizontal="center" vertical="center" wrapText="1"/>
    </xf>
    <xf numFmtId="0" fontId="26" fillId="13" borderId="49" xfId="0" applyFont="1" applyFill="1" applyBorder="1" applyAlignment="1">
      <alignment horizontal="center" vertical="center"/>
    </xf>
    <xf numFmtId="0" fontId="26" fillId="13" borderId="51" xfId="0" applyFont="1" applyFill="1" applyBorder="1" applyAlignment="1">
      <alignment vertical="center" wrapText="1"/>
    </xf>
    <xf numFmtId="0" fontId="36" fillId="13" borderId="11" xfId="0" applyFont="1" applyFill="1" applyBorder="1" applyAlignment="1">
      <alignment horizontal="center" vertical="center" wrapText="1"/>
    </xf>
    <xf numFmtId="0" fontId="121" fillId="18" borderId="49" xfId="0" applyFont="1" applyFill="1" applyBorder="1" applyAlignment="1">
      <alignment horizontal="center" vertical="center"/>
    </xf>
    <xf numFmtId="0" fontId="121" fillId="18" borderId="49" xfId="0" applyFont="1" applyFill="1" applyBorder="1" applyAlignment="1">
      <alignment horizontal="center" vertical="center" wrapText="1"/>
    </xf>
    <xf numFmtId="0" fontId="120" fillId="18" borderId="49" xfId="0" applyFont="1" applyFill="1" applyBorder="1" applyAlignment="1">
      <alignment vertical="center" wrapText="1"/>
    </xf>
    <xf numFmtId="0" fontId="121" fillId="18" borderId="49" xfId="0" applyFont="1" applyFill="1" applyBorder="1" applyAlignment="1">
      <alignment vertical="center" wrapText="1"/>
    </xf>
    <xf numFmtId="0" fontId="118" fillId="18" borderId="14" xfId="0" applyFont="1" applyFill="1" applyBorder="1" applyAlignment="1">
      <alignment horizontal="left" wrapText="1"/>
    </xf>
    <xf numFmtId="0" fontId="25" fillId="18" borderId="11" xfId="0" applyFont="1" applyFill="1" applyBorder="1" applyAlignment="1">
      <alignment/>
    </xf>
    <xf numFmtId="186" fontId="25" fillId="18" borderId="11" xfId="0" applyNumberFormat="1" applyFont="1" applyFill="1" applyBorder="1" applyAlignment="1">
      <alignment horizontal="center"/>
    </xf>
    <xf numFmtId="0" fontId="14" fillId="4" borderId="11" xfId="0" applyFont="1" applyFill="1" applyBorder="1" applyAlignment="1">
      <alignment horizontal="left" wrapText="1"/>
    </xf>
    <xf numFmtId="0" fontId="120" fillId="44" borderId="50" xfId="0" applyFont="1" applyFill="1" applyBorder="1" applyAlignment="1">
      <alignment vertical="center" wrapText="1"/>
    </xf>
    <xf numFmtId="0" fontId="120" fillId="44" borderId="52" xfId="0" applyFont="1" applyFill="1" applyBorder="1" applyAlignment="1">
      <alignment vertical="center" wrapText="1"/>
    </xf>
    <xf numFmtId="0" fontId="120" fillId="44" borderId="53" xfId="0" applyFont="1" applyFill="1" applyBorder="1" applyAlignment="1">
      <alignment vertical="center" wrapText="1"/>
    </xf>
    <xf numFmtId="0" fontId="24" fillId="33" borderId="11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left" wrapText="1"/>
    </xf>
    <xf numFmtId="0" fontId="26" fillId="13" borderId="54" xfId="0" applyFont="1" applyFill="1" applyBorder="1" applyAlignment="1">
      <alignment horizontal="center" vertical="center"/>
    </xf>
    <xf numFmtId="0" fontId="120" fillId="44" borderId="11" xfId="0" applyFont="1" applyFill="1" applyBorder="1" applyAlignment="1">
      <alignment vertical="center"/>
    </xf>
    <xf numFmtId="0" fontId="121" fillId="18" borderId="50" xfId="0" applyFont="1" applyFill="1" applyBorder="1" applyAlignment="1">
      <alignment horizontal="center" vertical="center"/>
    </xf>
    <xf numFmtId="0" fontId="121" fillId="18" borderId="50" xfId="0" applyFont="1" applyFill="1" applyBorder="1" applyAlignment="1">
      <alignment horizontal="center" vertical="center" wrapText="1"/>
    </xf>
    <xf numFmtId="186" fontId="25" fillId="18" borderId="11" xfId="0" applyNumberFormat="1" applyFont="1" applyFill="1" applyBorder="1" applyAlignment="1">
      <alignment/>
    </xf>
    <xf numFmtId="186" fontId="14" fillId="18" borderId="11" xfId="0" applyNumberFormat="1" applyFont="1" applyFill="1" applyBorder="1" applyAlignment="1">
      <alignment horizontal="center"/>
    </xf>
    <xf numFmtId="203" fontId="14" fillId="13" borderId="11" xfId="102" applyNumberFormat="1" applyFont="1" applyFill="1" applyBorder="1" applyAlignment="1">
      <alignment horizontal="center"/>
    </xf>
    <xf numFmtId="1" fontId="114" fillId="0" borderId="11" xfId="0" applyNumberFormat="1" applyFont="1" applyBorder="1" applyAlignment="1">
      <alignment horizontal="center"/>
    </xf>
    <xf numFmtId="0" fontId="25" fillId="0" borderId="0" xfId="0" applyFont="1" applyAlignment="1">
      <alignment/>
    </xf>
    <xf numFmtId="0" fontId="62" fillId="36" borderId="0" xfId="0" applyFont="1" applyFill="1" applyAlignment="1">
      <alignment/>
    </xf>
    <xf numFmtId="0" fontId="26" fillId="0" borderId="0" xfId="0" applyFont="1" applyAlignment="1">
      <alignment/>
    </xf>
    <xf numFmtId="0" fontId="61" fillId="0" borderId="0" xfId="0" applyFont="1" applyAlignment="1">
      <alignment/>
    </xf>
    <xf numFmtId="0" fontId="15" fillId="33" borderId="17" xfId="0" applyFont="1" applyFill="1" applyBorder="1" applyAlignment="1">
      <alignment horizontal="center" vertical="center" wrapText="1"/>
    </xf>
    <xf numFmtId="0" fontId="13" fillId="33" borderId="40" xfId="0" applyFont="1" applyFill="1" applyBorder="1" applyAlignment="1">
      <alignment horizontal="center" wrapText="1"/>
    </xf>
    <xf numFmtId="0" fontId="14" fillId="0" borderId="16" xfId="0" applyFont="1" applyFill="1" applyBorder="1" applyAlignment="1">
      <alignment wrapText="1"/>
    </xf>
    <xf numFmtId="0" fontId="14" fillId="0" borderId="11" xfId="0" applyFont="1" applyFill="1" applyBorder="1" applyAlignment="1">
      <alignment horizontal="left" vertical="center"/>
    </xf>
    <xf numFmtId="186" fontId="14" fillId="0" borderId="11" xfId="0" applyNumberFormat="1" applyFont="1" applyFill="1" applyBorder="1" applyAlignment="1">
      <alignment horizontal="left" vertical="center"/>
    </xf>
    <xf numFmtId="0" fontId="122" fillId="0" borderId="11" xfId="0" applyFont="1" applyFill="1" applyBorder="1" applyAlignment="1">
      <alignment horizontal="left" vertical="center" wrapText="1"/>
    </xf>
    <xf numFmtId="0" fontId="11" fillId="0" borderId="11" xfId="0" applyNumberFormat="1" applyFont="1" applyBorder="1" applyAlignment="1" applyProtection="1">
      <alignment horizontal="left" vertical="center" wrapText="1"/>
      <protection locked="0"/>
    </xf>
    <xf numFmtId="0" fontId="11" fillId="0" borderId="11" xfId="0" applyFont="1" applyBorder="1" applyAlignment="1">
      <alignment horizontal="left" wrapText="1"/>
    </xf>
    <xf numFmtId="186" fontId="34" fillId="36" borderId="0" xfId="0" applyNumberFormat="1" applyFont="1" applyFill="1" applyAlignment="1">
      <alignment/>
    </xf>
    <xf numFmtId="186" fontId="61" fillId="0" borderId="0" xfId="0" applyNumberFormat="1" applyFont="1" applyAlignment="1">
      <alignment/>
    </xf>
    <xf numFmtId="186" fontId="18" fillId="0" borderId="0" xfId="0" applyNumberFormat="1" applyFont="1" applyAlignment="1">
      <alignment/>
    </xf>
    <xf numFmtId="0" fontId="16" fillId="0" borderId="11" xfId="0" applyFont="1" applyBorder="1" applyAlignment="1">
      <alignment vertical="center" wrapText="1"/>
    </xf>
    <xf numFmtId="0" fontId="15" fillId="0" borderId="11" xfId="0" applyFont="1" applyBorder="1" applyAlignment="1">
      <alignment vertical="top" wrapText="1"/>
    </xf>
    <xf numFmtId="186" fontId="15" fillId="0" borderId="11" xfId="0" applyNumberFormat="1" applyFont="1" applyBorder="1" applyAlignment="1">
      <alignment horizontal="center" wrapText="1"/>
    </xf>
    <xf numFmtId="186" fontId="11" fillId="0" borderId="0" xfId="0" applyNumberFormat="1" applyFont="1" applyAlignment="1">
      <alignment horizontal="center"/>
    </xf>
    <xf numFmtId="186" fontId="14" fillId="0" borderId="0" xfId="0" applyNumberFormat="1" applyFont="1" applyAlignment="1">
      <alignment horizontal="center"/>
    </xf>
    <xf numFmtId="0" fontId="11" fillId="33" borderId="10" xfId="0" applyFont="1" applyFill="1" applyBorder="1" applyAlignment="1">
      <alignment horizontal="center" wrapText="1"/>
    </xf>
    <xf numFmtId="0" fontId="16" fillId="0" borderId="11" xfId="0" applyFont="1" applyBorder="1" applyAlignment="1">
      <alignment vertical="center"/>
    </xf>
    <xf numFmtId="0" fontId="11" fillId="0" borderId="11" xfId="0" applyFont="1" applyBorder="1" applyAlignment="1">
      <alignment horizontal="right" vertical="center"/>
    </xf>
    <xf numFmtId="186" fontId="11" fillId="0" borderId="11" xfId="0" applyNumberFormat="1" applyFont="1" applyBorder="1" applyAlignment="1">
      <alignment horizontal="right" vertical="center"/>
    </xf>
    <xf numFmtId="0" fontId="16" fillId="40" borderId="11" xfId="0" applyFont="1" applyFill="1" applyBorder="1" applyAlignment="1">
      <alignment horizontal="center" vertical="center"/>
    </xf>
    <xf numFmtId="0" fontId="16" fillId="40" borderId="11" xfId="0" applyFont="1" applyFill="1" applyBorder="1" applyAlignment="1">
      <alignment horizontal="center" vertical="center" wrapText="1"/>
    </xf>
    <xf numFmtId="0" fontId="11" fillId="0" borderId="11" xfId="99" applyFont="1" applyFill="1" applyBorder="1">
      <alignment/>
      <protection/>
    </xf>
    <xf numFmtId="0" fontId="11" fillId="0" borderId="11" xfId="99" applyFont="1" applyFill="1" applyBorder="1" applyAlignment="1">
      <alignment horizontal="center"/>
      <protection/>
    </xf>
    <xf numFmtId="0" fontId="10" fillId="0" borderId="0" xfId="0" applyFont="1" applyFill="1" applyBorder="1" applyAlignment="1">
      <alignment horizontal="centerContinuous" wrapText="1"/>
    </xf>
    <xf numFmtId="0" fontId="11" fillId="0" borderId="0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center" wrapText="1"/>
    </xf>
    <xf numFmtId="0" fontId="14" fillId="0" borderId="12" xfId="0" applyFont="1" applyFill="1" applyBorder="1" applyAlignment="1">
      <alignment wrapText="1"/>
    </xf>
    <xf numFmtId="0" fontId="16" fillId="0" borderId="11" xfId="0" applyFont="1" applyFill="1" applyBorder="1" applyAlignment="1">
      <alignment horizontal="center"/>
    </xf>
    <xf numFmtId="186" fontId="25" fillId="0" borderId="11" xfId="0" applyNumberFormat="1" applyFont="1" applyFill="1" applyBorder="1" applyAlignment="1">
      <alignment horizontal="center"/>
    </xf>
    <xf numFmtId="0" fontId="25" fillId="0" borderId="11" xfId="0" applyFont="1" applyFill="1" applyBorder="1" applyAlignment="1">
      <alignment horizontal="left" wrapText="1"/>
    </xf>
    <xf numFmtId="0" fontId="18" fillId="0" borderId="11" xfId="0" applyFont="1" applyFill="1" applyBorder="1" applyAlignment="1">
      <alignment horizontal="left" vertical="center" wrapText="1"/>
    </xf>
    <xf numFmtId="0" fontId="18" fillId="0" borderId="11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 wrapText="1"/>
    </xf>
    <xf numFmtId="0" fontId="112" fillId="0" borderId="11" xfId="0" applyFont="1" applyBorder="1" applyAlignment="1">
      <alignment vertical="top" wrapText="1"/>
    </xf>
    <xf numFmtId="0" fontId="11" fillId="40" borderId="11" xfId="0" applyFont="1" applyFill="1" applyBorder="1" applyAlignment="1">
      <alignment horizontal="left" vertical="top"/>
    </xf>
    <xf numFmtId="0" fontId="11" fillId="40" borderId="11" xfId="0" applyFont="1" applyFill="1" applyBorder="1" applyAlignment="1">
      <alignment horizontal="left" vertical="top" wrapText="1"/>
    </xf>
    <xf numFmtId="0" fontId="112" fillId="0" borderId="11" xfId="0" applyFont="1" applyBorder="1" applyAlignment="1">
      <alignment horizontal="center"/>
    </xf>
    <xf numFmtId="0" fontId="26" fillId="40" borderId="11" xfId="0" applyFont="1" applyFill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119" fillId="0" borderId="11" xfId="0" applyFont="1" applyBorder="1" applyAlignment="1">
      <alignment horizontal="center"/>
    </xf>
    <xf numFmtId="0" fontId="112" fillId="0" borderId="11" xfId="0" applyFont="1" applyBorder="1" applyAlignment="1">
      <alignment/>
    </xf>
    <xf numFmtId="0" fontId="11" fillId="0" borderId="11" xfId="0" applyFont="1" applyFill="1" applyBorder="1" applyAlignment="1">
      <alignment vertical="center"/>
    </xf>
    <xf numFmtId="0" fontId="26" fillId="0" borderId="11" xfId="0" applyFont="1" applyFill="1" applyBorder="1" applyAlignment="1">
      <alignment horizontal="center" vertical="center"/>
    </xf>
    <xf numFmtId="2" fontId="11" fillId="0" borderId="11" xfId="0" applyNumberFormat="1" applyFont="1" applyFill="1" applyBorder="1" applyAlignment="1">
      <alignment vertical="center"/>
    </xf>
    <xf numFmtId="0" fontId="11" fillId="40" borderId="11" xfId="0" applyFont="1" applyFill="1" applyBorder="1" applyAlignment="1">
      <alignment vertical="center"/>
    </xf>
    <xf numFmtId="0" fontId="11" fillId="0" borderId="11" xfId="0" applyFont="1" applyFill="1" applyBorder="1" applyAlignment="1">
      <alignment vertical="top"/>
    </xf>
    <xf numFmtId="0" fontId="11" fillId="0" borderId="11" xfId="99" applyFont="1" applyFill="1" applyBorder="1" applyAlignment="1">
      <alignment horizontal="justify"/>
      <protection/>
    </xf>
    <xf numFmtId="0" fontId="112" fillId="0" borderId="11" xfId="0" applyFont="1" applyFill="1" applyBorder="1" applyAlignment="1">
      <alignment wrapText="1"/>
    </xf>
    <xf numFmtId="0" fontId="112" fillId="0" borderId="11" xfId="0" applyFont="1" applyFill="1" applyBorder="1" applyAlignment="1">
      <alignment/>
    </xf>
    <xf numFmtId="0" fontId="26" fillId="13" borderId="55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left" vertical="top" wrapText="1"/>
    </xf>
    <xf numFmtId="0" fontId="11" fillId="0" borderId="11" xfId="99" applyFont="1" applyFill="1" applyBorder="1" applyAlignment="1">
      <alignment vertical="top" wrapText="1"/>
      <protection/>
    </xf>
    <xf numFmtId="0" fontId="18" fillId="0" borderId="11" xfId="0" applyFont="1" applyFill="1" applyBorder="1" applyAlignment="1">
      <alignment vertical="top" wrapText="1"/>
    </xf>
    <xf numFmtId="0" fontId="18" fillId="40" borderId="11" xfId="0" applyFont="1" applyFill="1" applyBorder="1" applyAlignment="1">
      <alignment horizontal="left" vertical="center" wrapText="1"/>
    </xf>
    <xf numFmtId="0" fontId="18" fillId="0" borderId="11" xfId="0" applyFont="1" applyFill="1" applyBorder="1" applyAlignment="1">
      <alignment vertical="center" wrapText="1"/>
    </xf>
    <xf numFmtId="0" fontId="112" fillId="0" borderId="11" xfId="0" applyFont="1" applyBorder="1" applyAlignment="1">
      <alignment wrapText="1"/>
    </xf>
    <xf numFmtId="0" fontId="11" fillId="40" borderId="11" xfId="0" applyFont="1" applyFill="1" applyBorder="1" applyAlignment="1">
      <alignment horizontal="center" vertical="center"/>
    </xf>
    <xf numFmtId="0" fontId="11" fillId="38" borderId="11" xfId="99" applyFont="1" applyFill="1" applyBorder="1">
      <alignment/>
      <protection/>
    </xf>
    <xf numFmtId="0" fontId="11" fillId="38" borderId="11" xfId="99" applyFont="1" applyFill="1" applyBorder="1" applyAlignment="1">
      <alignment horizontal="center"/>
      <protection/>
    </xf>
    <xf numFmtId="0" fontId="26" fillId="38" borderId="11" xfId="0" applyFont="1" applyFill="1" applyBorder="1" applyAlignment="1">
      <alignment horizontal="center" vertical="center"/>
    </xf>
    <xf numFmtId="2" fontId="11" fillId="0" borderId="17" xfId="0" applyNumberFormat="1" applyFont="1" applyFill="1" applyBorder="1" applyAlignment="1">
      <alignment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1" xfId="99" applyFont="1" applyFill="1" applyBorder="1" applyAlignment="1">
      <alignment horizontal="justify" vertical="top"/>
      <protection/>
    </xf>
    <xf numFmtId="0" fontId="11" fillId="0" borderId="11" xfId="0" applyFont="1" applyFill="1" applyBorder="1" applyAlignment="1">
      <alignment horizontal="left" vertical="top"/>
    </xf>
    <xf numFmtId="0" fontId="14" fillId="0" borderId="14" xfId="0" applyFont="1" applyBorder="1" applyAlignment="1">
      <alignment/>
    </xf>
    <xf numFmtId="0" fontId="18" fillId="0" borderId="11" xfId="0" applyFont="1" applyFill="1" applyBorder="1" applyAlignment="1">
      <alignment horizontal="left" vertical="top" wrapText="1"/>
    </xf>
    <xf numFmtId="0" fontId="123" fillId="0" borderId="11" xfId="0" applyFont="1" applyBorder="1" applyAlignment="1">
      <alignment vertical="top" wrapText="1"/>
    </xf>
    <xf numFmtId="0" fontId="11" fillId="0" borderId="11" xfId="99" applyFont="1" applyFill="1" applyBorder="1" applyAlignment="1">
      <alignment horizontal="justify" vertical="center"/>
      <protection/>
    </xf>
    <xf numFmtId="0" fontId="11" fillId="0" borderId="11" xfId="0" applyFont="1" applyFill="1" applyBorder="1" applyAlignment="1">
      <alignment horizontal="right" vertical="top"/>
    </xf>
    <xf numFmtId="0" fontId="11" fillId="0" borderId="11" xfId="99" applyFont="1" applyFill="1" applyBorder="1" applyAlignment="1">
      <alignment vertical="top"/>
      <protection/>
    </xf>
    <xf numFmtId="0" fontId="120" fillId="18" borderId="56" xfId="0" applyFont="1" applyFill="1" applyBorder="1" applyAlignment="1">
      <alignment vertical="center" wrapText="1"/>
    </xf>
    <xf numFmtId="0" fontId="121" fillId="18" borderId="56" xfId="0" applyFont="1" applyFill="1" applyBorder="1" applyAlignment="1">
      <alignment vertical="center" wrapText="1"/>
    </xf>
    <xf numFmtId="2" fontId="11" fillId="0" borderId="11" xfId="0" applyNumberFormat="1" applyFont="1" applyBorder="1" applyAlignment="1">
      <alignment/>
    </xf>
    <xf numFmtId="0" fontId="124" fillId="0" borderId="11" xfId="0" applyFont="1" applyFill="1" applyBorder="1" applyAlignment="1">
      <alignment/>
    </xf>
    <xf numFmtId="0" fontId="11" fillId="0" borderId="11" xfId="99" applyFont="1" applyFill="1" applyBorder="1" applyAlignment="1">
      <alignment wrapText="1"/>
      <protection/>
    </xf>
    <xf numFmtId="0" fontId="11" fillId="0" borderId="11" xfId="0" applyFont="1" applyFill="1" applyBorder="1" applyAlignment="1">
      <alignment horizontal="left" vertical="center"/>
    </xf>
    <xf numFmtId="0" fontId="112" fillId="0" borderId="11" xfId="0" applyFont="1" applyFill="1" applyBorder="1" applyAlignment="1">
      <alignment vertical="top" wrapText="1"/>
    </xf>
    <xf numFmtId="0" fontId="112" fillId="0" borderId="11" xfId="0" applyFont="1" applyBorder="1" applyAlignment="1">
      <alignment horizontal="center" vertical="center"/>
    </xf>
    <xf numFmtId="0" fontId="112" fillId="0" borderId="11" xfId="0" applyFont="1" applyFill="1" applyBorder="1" applyAlignment="1">
      <alignment vertical="top"/>
    </xf>
    <xf numFmtId="0" fontId="11" fillId="0" borderId="11" xfId="0" applyFont="1" applyFill="1" applyBorder="1" applyAlignment="1">
      <alignment vertical="center" wrapText="1"/>
    </xf>
    <xf numFmtId="2" fontId="26" fillId="0" borderId="11" xfId="0" applyNumberFormat="1" applyFont="1" applyFill="1" applyBorder="1" applyAlignment="1">
      <alignment horizontal="center" vertical="center"/>
    </xf>
    <xf numFmtId="0" fontId="26" fillId="13" borderId="57" xfId="0" applyFont="1" applyFill="1" applyBorder="1" applyAlignment="1">
      <alignment vertical="center" wrapText="1"/>
    </xf>
    <xf numFmtId="0" fontId="16" fillId="33" borderId="0" xfId="0" applyFont="1" applyFill="1" applyAlignment="1">
      <alignment horizontal="center" wrapText="1"/>
    </xf>
    <xf numFmtId="0" fontId="25" fillId="18" borderId="11" xfId="0" applyFont="1" applyFill="1" applyBorder="1" applyAlignment="1">
      <alignment horizontal="center"/>
    </xf>
    <xf numFmtId="0" fontId="11" fillId="4" borderId="11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2" fontId="11" fillId="0" borderId="11" xfId="0" applyNumberFormat="1" applyFont="1" applyBorder="1" applyAlignment="1">
      <alignment horizontal="center"/>
    </xf>
    <xf numFmtId="186" fontId="11" fillId="0" borderId="11" xfId="99" applyNumberFormat="1" applyFont="1" applyFill="1" applyBorder="1" applyAlignment="1">
      <alignment horizontal="center"/>
      <protection/>
    </xf>
    <xf numFmtId="186" fontId="11" fillId="0" borderId="11" xfId="99" applyNumberFormat="1" applyFont="1" applyFill="1" applyBorder="1" applyAlignment="1">
      <alignment horizontal="center" vertical="center"/>
      <protection/>
    </xf>
    <xf numFmtId="186" fontId="11" fillId="0" borderId="11" xfId="0" applyNumberFormat="1" applyFont="1" applyFill="1" applyBorder="1" applyAlignment="1">
      <alignment horizontal="center" vertical="center"/>
    </xf>
    <xf numFmtId="2" fontId="11" fillId="0" borderId="11" xfId="99" applyNumberFormat="1" applyFont="1" applyFill="1" applyBorder="1" applyAlignment="1">
      <alignment horizontal="center"/>
      <protection/>
    </xf>
    <xf numFmtId="186" fontId="112" fillId="0" borderId="11" xfId="0" applyNumberFormat="1" applyFont="1" applyFill="1" applyBorder="1" applyAlignment="1">
      <alignment horizontal="center"/>
    </xf>
    <xf numFmtId="186" fontId="112" fillId="0" borderId="11" xfId="0" applyNumberFormat="1" applyFont="1" applyFill="1" applyBorder="1" applyAlignment="1">
      <alignment horizontal="center" vertical="center"/>
    </xf>
    <xf numFmtId="2" fontId="11" fillId="0" borderId="11" xfId="0" applyNumberFormat="1" applyFont="1" applyFill="1" applyBorder="1" applyAlignment="1">
      <alignment horizontal="center" vertical="center"/>
    </xf>
    <xf numFmtId="186" fontId="11" fillId="0" borderId="17" xfId="0" applyNumberFormat="1" applyFont="1" applyFill="1" applyBorder="1" applyAlignment="1">
      <alignment horizontal="center" vertical="center"/>
    </xf>
    <xf numFmtId="187" fontId="11" fillId="0" borderId="0" xfId="0" applyNumberFormat="1" applyFont="1" applyFill="1" applyAlignment="1">
      <alignment horizontal="center" vertical="center"/>
    </xf>
    <xf numFmtId="0" fontId="11" fillId="0" borderId="11" xfId="0" applyFont="1" applyFill="1" applyBorder="1" applyAlignment="1">
      <alignment horizontal="left"/>
    </xf>
    <xf numFmtId="0" fontId="125" fillId="0" borderId="11" xfId="0" applyFont="1" applyBorder="1" applyAlignment="1">
      <alignment horizontal="left" wrapText="1"/>
    </xf>
    <xf numFmtId="0" fontId="18" fillId="38" borderId="11" xfId="0" applyFont="1" applyFill="1" applyBorder="1" applyAlignment="1">
      <alignment horizontal="center" vertical="center" wrapText="1"/>
    </xf>
    <xf numFmtId="0" fontId="11" fillId="38" borderId="11" xfId="0" applyFont="1" applyFill="1" applyBorder="1" applyAlignment="1">
      <alignment horizontal="center"/>
    </xf>
    <xf numFmtId="0" fontId="16" fillId="38" borderId="11" xfId="0" applyFont="1" applyFill="1" applyBorder="1" applyAlignment="1">
      <alignment wrapText="1"/>
    </xf>
    <xf numFmtId="0" fontId="11" fillId="4" borderId="0" xfId="0" applyFont="1" applyFill="1" applyAlignment="1">
      <alignment horizontal="justify" vertical="top"/>
    </xf>
    <xf numFmtId="0" fontId="18" fillId="0" borderId="11" xfId="0" applyFont="1" applyBorder="1" applyAlignment="1">
      <alignment horizontal="justify" vertical="top"/>
    </xf>
    <xf numFmtId="0" fontId="11" fillId="0" borderId="11" xfId="0" applyFont="1" applyBorder="1" applyAlignment="1">
      <alignment vertical="top" wrapText="1"/>
    </xf>
    <xf numFmtId="0" fontId="123" fillId="4" borderId="11" xfId="0" applyFont="1" applyFill="1" applyBorder="1" applyAlignment="1">
      <alignment vertical="center" wrapText="1"/>
    </xf>
    <xf numFmtId="1" fontId="11" fillId="0" borderId="11" xfId="95" applyNumberFormat="1" applyFont="1" applyFill="1" applyBorder="1" applyAlignment="1">
      <alignment horizontal="center" vertical="top" wrapText="1"/>
      <protection/>
    </xf>
    <xf numFmtId="186" fontId="11" fillId="0" borderId="11" xfId="0" applyNumberFormat="1" applyFont="1" applyFill="1" applyBorder="1" applyAlignment="1">
      <alignment horizontal="center" vertical="top" wrapText="1"/>
    </xf>
    <xf numFmtId="0" fontId="11" fillId="33" borderId="11" xfId="80" applyFont="1" applyFill="1" applyBorder="1" applyAlignment="1">
      <alignment horizontal="center" vertical="center" wrapText="1"/>
      <protection/>
    </xf>
    <xf numFmtId="187" fontId="11" fillId="33" borderId="11" xfId="80" applyNumberFormat="1" applyFont="1" applyFill="1" applyBorder="1" applyAlignment="1">
      <alignment horizontal="center" vertical="center" wrapText="1"/>
      <protection/>
    </xf>
    <xf numFmtId="2" fontId="11" fillId="33" borderId="11" xfId="80" applyNumberFormat="1" applyFont="1" applyFill="1" applyBorder="1" applyAlignment="1">
      <alignment horizontal="center" vertical="center" wrapText="1"/>
      <protection/>
    </xf>
    <xf numFmtId="0" fontId="11" fillId="0" borderId="11" xfId="0" applyFont="1" applyFill="1" applyBorder="1" applyAlignment="1">
      <alignment horizontal="left" wrapText="1"/>
    </xf>
    <xf numFmtId="186" fontId="18" fillId="0" borderId="11" xfId="0" applyNumberFormat="1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"/>
    </xf>
    <xf numFmtId="186" fontId="18" fillId="40" borderId="11" xfId="0" applyNumberFormat="1" applyFont="1" applyFill="1" applyBorder="1" applyAlignment="1">
      <alignment horizontal="center"/>
    </xf>
    <xf numFmtId="0" fontId="27" fillId="10" borderId="11" xfId="0" applyFont="1" applyFill="1" applyBorder="1" applyAlignment="1">
      <alignment horizontal="center" wrapText="1"/>
    </xf>
    <xf numFmtId="0" fontId="18" fillId="0" borderId="0" xfId="0" applyFont="1" applyBorder="1" applyAlignment="1">
      <alignment horizontal="center"/>
    </xf>
    <xf numFmtId="0" fontId="27" fillId="10" borderId="11" xfId="0" applyFont="1" applyFill="1" applyBorder="1" applyAlignment="1">
      <alignment horizontal="center" vertical="center" wrapText="1"/>
    </xf>
    <xf numFmtId="186" fontId="27" fillId="10" borderId="11" xfId="0" applyNumberFormat="1" applyFont="1" applyFill="1" applyBorder="1" applyAlignment="1">
      <alignment horizontal="center"/>
    </xf>
    <xf numFmtId="1" fontId="27" fillId="10" borderId="11" xfId="0" applyNumberFormat="1" applyFont="1" applyFill="1" applyBorder="1" applyAlignment="1">
      <alignment horizontal="center"/>
    </xf>
    <xf numFmtId="0" fontId="11" fillId="40" borderId="30" xfId="0" applyFont="1" applyFill="1" applyBorder="1" applyAlignment="1">
      <alignment horizontal="center"/>
    </xf>
    <xf numFmtId="0" fontId="15" fillId="40" borderId="11" xfId="0" applyFont="1" applyFill="1" applyBorder="1" applyAlignment="1">
      <alignment horizontal="center" vertical="top" wrapText="1"/>
    </xf>
    <xf numFmtId="186" fontId="11" fillId="40" borderId="11" xfId="0" applyNumberFormat="1" applyFont="1" applyFill="1" applyBorder="1" applyAlignment="1">
      <alignment horizontal="center"/>
    </xf>
    <xf numFmtId="1" fontId="11" fillId="40" borderId="11" xfId="0" applyNumberFormat="1" applyFont="1" applyFill="1" applyBorder="1" applyAlignment="1">
      <alignment/>
    </xf>
    <xf numFmtId="0" fontId="11" fillId="40" borderId="15" xfId="0" applyFont="1" applyFill="1" applyBorder="1" applyAlignment="1">
      <alignment horizontal="center"/>
    </xf>
    <xf numFmtId="0" fontId="20" fillId="40" borderId="11" xfId="0" applyFont="1" applyFill="1" applyBorder="1" applyAlignment="1">
      <alignment horizontal="left" wrapText="1"/>
    </xf>
    <xf numFmtId="0" fontId="16" fillId="40" borderId="11" xfId="0" applyFont="1" applyFill="1" applyBorder="1" applyAlignment="1">
      <alignment horizontal="left"/>
    </xf>
    <xf numFmtId="1" fontId="11" fillId="40" borderId="11" xfId="0" applyNumberFormat="1" applyFont="1" applyFill="1" applyBorder="1" applyAlignment="1">
      <alignment horizontal="center"/>
    </xf>
    <xf numFmtId="1" fontId="27" fillId="40" borderId="11" xfId="0" applyNumberFormat="1" applyFont="1" applyFill="1" applyBorder="1" applyAlignment="1">
      <alignment horizontal="center"/>
    </xf>
    <xf numFmtId="186" fontId="11" fillId="40" borderId="11" xfId="0" applyNumberFormat="1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186" fontId="11" fillId="0" borderId="11" xfId="0" applyNumberFormat="1" applyFont="1" applyBorder="1" applyAlignment="1">
      <alignment horizontal="center" vertical="center"/>
    </xf>
    <xf numFmtId="1" fontId="18" fillId="0" borderId="11" xfId="0" applyNumberFormat="1" applyFont="1" applyBorder="1" applyAlignment="1">
      <alignment horizontal="center"/>
    </xf>
    <xf numFmtId="0" fontId="14" fillId="10" borderId="11" xfId="0" applyFont="1" applyFill="1" applyBorder="1" applyAlignment="1">
      <alignment horizontal="left" vertical="center" wrapText="1"/>
    </xf>
    <xf numFmtId="1" fontId="11" fillId="0" borderId="11" xfId="0" applyNumberFormat="1" applyFont="1" applyBorder="1" applyAlignment="1">
      <alignment horizontal="center" vertical="center"/>
    </xf>
    <xf numFmtId="0" fontId="27" fillId="10" borderId="17" xfId="0" applyFont="1" applyFill="1" applyBorder="1" applyAlignment="1">
      <alignment horizontal="center" vertical="center" wrapText="1"/>
    </xf>
    <xf numFmtId="0" fontId="27" fillId="10" borderId="17" xfId="0" applyFont="1" applyFill="1" applyBorder="1" applyAlignment="1">
      <alignment horizontal="center" wrapText="1"/>
    </xf>
    <xf numFmtId="187" fontId="11" fillId="0" borderId="11" xfId="0" applyNumberFormat="1" applyFont="1" applyBorder="1" applyAlignment="1">
      <alignment/>
    </xf>
    <xf numFmtId="186" fontId="14" fillId="10" borderId="11" xfId="0" applyNumberFormat="1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vertical="center" wrapText="1"/>
    </xf>
    <xf numFmtId="0" fontId="26" fillId="0" borderId="11" xfId="0" applyFont="1" applyBorder="1" applyAlignment="1">
      <alignment/>
    </xf>
    <xf numFmtId="2" fontId="11" fillId="0" borderId="0" xfId="0" applyNumberFormat="1" applyFont="1" applyFill="1" applyBorder="1" applyAlignment="1">
      <alignment vertical="center"/>
    </xf>
    <xf numFmtId="0" fontId="11" fillId="0" borderId="0" xfId="0" applyFont="1" applyFill="1" applyAlignment="1">
      <alignment horizontal="center" wrapText="1"/>
    </xf>
    <xf numFmtId="0" fontId="14" fillId="0" borderId="0" xfId="0" applyFont="1" applyFill="1" applyAlignment="1">
      <alignment horizontal="center" wrapText="1"/>
    </xf>
    <xf numFmtId="0" fontId="25" fillId="0" borderId="11" xfId="0" applyFont="1" applyFill="1" applyBorder="1" applyAlignment="1">
      <alignment/>
    </xf>
    <xf numFmtId="186" fontId="25" fillId="0" borderId="11" xfId="0" applyNumberFormat="1" applyFont="1" applyFill="1" applyBorder="1" applyAlignment="1">
      <alignment/>
    </xf>
    <xf numFmtId="0" fontId="11" fillId="0" borderId="14" xfId="0" applyFont="1" applyFill="1" applyBorder="1" applyAlignment="1">
      <alignment vertical="center" wrapText="1"/>
    </xf>
    <xf numFmtId="0" fontId="11" fillId="0" borderId="14" xfId="0" applyFont="1" applyBorder="1" applyAlignment="1">
      <alignment/>
    </xf>
    <xf numFmtId="0" fontId="11" fillId="40" borderId="15" xfId="0" applyFont="1" applyFill="1" applyBorder="1" applyAlignment="1">
      <alignment/>
    </xf>
    <xf numFmtId="0" fontId="11" fillId="33" borderId="10" xfId="0" applyFont="1" applyFill="1" applyBorder="1" applyAlignment="1">
      <alignment wrapText="1"/>
    </xf>
    <xf numFmtId="0" fontId="12" fillId="33" borderId="0" xfId="0" applyFont="1" applyFill="1" applyBorder="1" applyAlignment="1">
      <alignment horizontal="center" wrapText="1"/>
    </xf>
    <xf numFmtId="0" fontId="15" fillId="0" borderId="12" xfId="0" applyFont="1" applyBorder="1" applyAlignment="1">
      <alignment horizontal="center" wrapText="1"/>
    </xf>
    <xf numFmtId="0" fontId="15" fillId="0" borderId="17" xfId="0" applyFont="1" applyBorder="1" applyAlignment="1">
      <alignment horizontal="center" wrapText="1"/>
    </xf>
    <xf numFmtId="0" fontId="65" fillId="33" borderId="10" xfId="0" applyFont="1" applyFill="1" applyBorder="1" applyAlignment="1">
      <alignment horizontal="center" wrapText="1"/>
    </xf>
    <xf numFmtId="49" fontId="119" fillId="0" borderId="16" xfId="0" applyNumberFormat="1" applyFont="1" applyFill="1" applyBorder="1" applyAlignment="1">
      <alignment horizontal="center" vertical="top" wrapText="1"/>
    </xf>
    <xf numFmtId="49" fontId="119" fillId="0" borderId="17" xfId="0" applyNumberFormat="1" applyFont="1" applyFill="1" applyBorder="1" applyAlignment="1">
      <alignment horizontal="center" vertical="top" wrapText="1"/>
    </xf>
    <xf numFmtId="0" fontId="112" fillId="0" borderId="11" xfId="0" applyFont="1" applyFill="1" applyBorder="1" applyAlignment="1">
      <alignment horizontal="center" vertical="center" wrapText="1"/>
    </xf>
    <xf numFmtId="0" fontId="126" fillId="0" borderId="47" xfId="0" applyFont="1" applyFill="1" applyBorder="1" applyAlignment="1">
      <alignment horizontal="center" vertical="top" wrapText="1"/>
    </xf>
    <xf numFmtId="0" fontId="126" fillId="0" borderId="46" xfId="0" applyFont="1" applyFill="1" applyBorder="1" applyAlignment="1">
      <alignment horizontal="center" vertical="top" wrapText="1"/>
    </xf>
    <xf numFmtId="0" fontId="112" fillId="0" borderId="47" xfId="0" applyFont="1" applyFill="1" applyBorder="1" applyAlignment="1">
      <alignment horizontal="center" vertical="top" wrapText="1"/>
    </xf>
    <xf numFmtId="0" fontId="112" fillId="0" borderId="39" xfId="0" applyFont="1" applyFill="1" applyBorder="1" applyAlignment="1">
      <alignment horizontal="center" vertical="top" wrapText="1"/>
    </xf>
    <xf numFmtId="0" fontId="112" fillId="0" borderId="46" xfId="0" applyFont="1" applyFill="1" applyBorder="1" applyAlignment="1">
      <alignment horizontal="center" vertical="top" wrapText="1"/>
    </xf>
    <xf numFmtId="0" fontId="12" fillId="33" borderId="10" xfId="0" applyFont="1" applyFill="1" applyBorder="1" applyAlignment="1">
      <alignment horizontal="left" wrapText="1"/>
    </xf>
    <xf numFmtId="0" fontId="114" fillId="0" borderId="0" xfId="0" applyFont="1" applyFill="1" applyAlignment="1">
      <alignment horizontal="left" vertical="center" wrapText="1"/>
    </xf>
    <xf numFmtId="49" fontId="119" fillId="0" borderId="12" xfId="0" applyNumberFormat="1" applyFont="1" applyFill="1" applyBorder="1" applyAlignment="1">
      <alignment horizontal="center" vertical="top" wrapText="1"/>
    </xf>
    <xf numFmtId="0" fontId="15" fillId="0" borderId="13" xfId="0" applyFont="1" applyBorder="1" applyAlignment="1">
      <alignment horizontal="center" vertical="top" wrapText="1"/>
    </xf>
    <xf numFmtId="0" fontId="15" fillId="0" borderId="15" xfId="0" applyFont="1" applyBorder="1" applyAlignment="1">
      <alignment horizontal="center" vertical="top" wrapText="1"/>
    </xf>
    <xf numFmtId="0" fontId="112" fillId="0" borderId="0" xfId="0" applyFont="1" applyFill="1" applyBorder="1" applyAlignment="1">
      <alignment horizontal="center" vertical="center" wrapText="1"/>
    </xf>
    <xf numFmtId="0" fontId="10" fillId="40" borderId="0" xfId="0" applyFont="1" applyFill="1" applyBorder="1" applyAlignment="1">
      <alignment horizontal="center" wrapText="1"/>
    </xf>
    <xf numFmtId="0" fontId="116" fillId="38" borderId="0" xfId="0" applyFont="1" applyFill="1" applyAlignment="1">
      <alignment horizontal="center" wrapText="1"/>
    </xf>
    <xf numFmtId="0" fontId="16" fillId="0" borderId="37" xfId="0" applyFont="1" applyBorder="1" applyAlignment="1">
      <alignment horizontal="center" wrapText="1"/>
    </xf>
    <xf numFmtId="0" fontId="16" fillId="0" borderId="43" xfId="0" applyFont="1" applyBorder="1" applyAlignment="1">
      <alignment horizontal="center" wrapText="1"/>
    </xf>
    <xf numFmtId="0" fontId="16" fillId="0" borderId="45" xfId="0" applyFont="1" applyBorder="1" applyAlignment="1">
      <alignment horizontal="center" wrapText="1"/>
    </xf>
    <xf numFmtId="0" fontId="16" fillId="0" borderId="58" xfId="0" applyFont="1" applyBorder="1" applyAlignment="1">
      <alignment horizontal="center" wrapText="1"/>
    </xf>
    <xf numFmtId="0" fontId="65" fillId="33" borderId="0" xfId="0" applyFont="1" applyFill="1" applyBorder="1" applyAlignment="1">
      <alignment horizontal="center" wrapText="1"/>
    </xf>
    <xf numFmtId="0" fontId="15" fillId="0" borderId="13" xfId="0" applyFont="1" applyBorder="1" applyAlignment="1">
      <alignment horizontal="center" wrapText="1"/>
    </xf>
    <xf numFmtId="0" fontId="15" fillId="0" borderId="15" xfId="0" applyFont="1" applyBorder="1" applyAlignment="1">
      <alignment horizontal="center" wrapText="1"/>
    </xf>
    <xf numFmtId="0" fontId="8" fillId="33" borderId="0" xfId="0" applyFont="1" applyFill="1" applyBorder="1" applyAlignment="1">
      <alignment horizontal="center" wrapText="1"/>
    </xf>
    <xf numFmtId="0" fontId="25" fillId="33" borderId="0" xfId="0" applyFont="1" applyFill="1" applyAlignment="1">
      <alignment horizontal="center"/>
    </xf>
    <xf numFmtId="0" fontId="26" fillId="33" borderId="0" xfId="0" applyFont="1" applyFill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2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wrapText="1"/>
    </xf>
    <xf numFmtId="0" fontId="36" fillId="33" borderId="10" xfId="0" applyFont="1" applyFill="1" applyBorder="1" applyAlignment="1">
      <alignment horizontal="center" wrapText="1"/>
    </xf>
    <xf numFmtId="0" fontId="12" fillId="33" borderId="10" xfId="0" applyFont="1" applyFill="1" applyBorder="1" applyAlignment="1">
      <alignment horizontal="center" wrapText="1"/>
    </xf>
    <xf numFmtId="0" fontId="14" fillId="33" borderId="10" xfId="0" applyFont="1" applyFill="1" applyBorder="1" applyAlignment="1">
      <alignment horizontal="center" wrapText="1"/>
    </xf>
    <xf numFmtId="0" fontId="14" fillId="33" borderId="0" xfId="0" applyFont="1" applyFill="1" applyBorder="1" applyAlignment="1">
      <alignment horizontal="center" wrapText="1"/>
    </xf>
    <xf numFmtId="0" fontId="14" fillId="0" borderId="59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4" fillId="33" borderId="0" xfId="0" applyFont="1" applyFill="1" applyAlignment="1">
      <alignment horizont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39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14" fillId="0" borderId="19" xfId="0" applyFont="1" applyBorder="1" applyAlignment="1">
      <alignment horizontal="center" vertical="center"/>
    </xf>
    <xf numFmtId="0" fontId="11" fillId="33" borderId="10" xfId="0" applyFont="1" applyFill="1" applyBorder="1" applyAlignment="1">
      <alignment horizontal="center" wrapText="1"/>
    </xf>
    <xf numFmtId="0" fontId="14" fillId="0" borderId="37" xfId="0" applyFont="1" applyFill="1" applyBorder="1" applyAlignment="1">
      <alignment horizontal="center" wrapText="1"/>
    </xf>
    <xf numFmtId="0" fontId="14" fillId="0" borderId="42" xfId="0" applyFont="1" applyFill="1" applyBorder="1" applyAlignment="1">
      <alignment horizontal="center" wrapText="1"/>
    </xf>
    <xf numFmtId="0" fontId="14" fillId="0" borderId="43" xfId="0" applyFont="1" applyFill="1" applyBorder="1" applyAlignment="1">
      <alignment horizontal="center" wrapText="1"/>
    </xf>
    <xf numFmtId="0" fontId="118" fillId="33" borderId="42" xfId="0" applyFont="1" applyFill="1" applyBorder="1" applyAlignment="1">
      <alignment horizontal="center" wrapText="1"/>
    </xf>
    <xf numFmtId="0" fontId="118" fillId="33" borderId="43" xfId="0" applyFont="1" applyFill="1" applyBorder="1" applyAlignment="1">
      <alignment horizontal="center" wrapText="1"/>
    </xf>
    <xf numFmtId="0" fontId="118" fillId="33" borderId="0" xfId="0" applyFont="1" applyFill="1" applyBorder="1" applyAlignment="1">
      <alignment horizont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34" fillId="33" borderId="0" xfId="0" applyFont="1" applyFill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09" fillId="33" borderId="0" xfId="0" applyFont="1" applyFill="1" applyBorder="1" applyAlignment="1">
      <alignment horizontal="left" wrapText="1"/>
    </xf>
    <xf numFmtId="0" fontId="13" fillId="33" borderId="10" xfId="0" applyFont="1" applyFill="1" applyBorder="1" applyAlignment="1">
      <alignment horizontal="center" wrapText="1"/>
    </xf>
    <xf numFmtId="0" fontId="13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 wrapText="1"/>
    </xf>
    <xf numFmtId="0" fontId="14" fillId="33" borderId="0" xfId="0" applyFont="1" applyFill="1" applyAlignment="1">
      <alignment horizontal="center"/>
    </xf>
    <xf numFmtId="0" fontId="11" fillId="33" borderId="0" xfId="0" applyFont="1" applyFill="1" applyAlignment="1">
      <alignment horizontal="center" wrapText="1"/>
    </xf>
    <xf numFmtId="0" fontId="12" fillId="33" borderId="0" xfId="0" applyFont="1" applyFill="1" applyBorder="1" applyAlignment="1">
      <alignment horizontal="left" wrapText="1"/>
    </xf>
    <xf numFmtId="0" fontId="65" fillId="0" borderId="10" xfId="0" applyFont="1" applyFill="1" applyBorder="1" applyAlignment="1">
      <alignment horizontal="center" wrapText="1"/>
    </xf>
    <xf numFmtId="0" fontId="15" fillId="33" borderId="14" xfId="0" applyFont="1" applyFill="1" applyBorder="1" applyAlignment="1">
      <alignment horizontal="center" wrapText="1"/>
    </xf>
    <xf numFmtId="0" fontId="15" fillId="33" borderId="15" xfId="0" applyFont="1" applyFill="1" applyBorder="1" applyAlignment="1">
      <alignment horizontal="center" wrapText="1"/>
    </xf>
    <xf numFmtId="0" fontId="11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118" fillId="0" borderId="0" xfId="0" applyFont="1" applyFill="1" applyBorder="1" applyAlignment="1">
      <alignment horizontal="left" wrapText="1"/>
    </xf>
    <xf numFmtId="0" fontId="24" fillId="33" borderId="14" xfId="0" applyFont="1" applyFill="1" applyBorder="1" applyAlignment="1">
      <alignment horizontal="center"/>
    </xf>
    <xf numFmtId="0" fontId="24" fillId="33" borderId="15" xfId="0" applyFont="1" applyFill="1" applyBorder="1" applyAlignment="1">
      <alignment horizontal="center"/>
    </xf>
    <xf numFmtId="0" fontId="108" fillId="0" borderId="0" xfId="0" applyFont="1" applyFill="1" applyBorder="1" applyAlignment="1">
      <alignment horizontal="left" wrapText="1"/>
    </xf>
    <xf numFmtId="0" fontId="11" fillId="33" borderId="13" xfId="0" applyFont="1" applyFill="1" applyBorder="1" applyAlignment="1">
      <alignment horizontal="center"/>
    </xf>
    <xf numFmtId="0" fontId="11" fillId="33" borderId="14" xfId="0" applyFont="1" applyFill="1" applyBorder="1" applyAlignment="1">
      <alignment horizontal="center"/>
    </xf>
    <xf numFmtId="0" fontId="11" fillId="40" borderId="15" xfId="0" applyFont="1" applyFill="1" applyBorder="1" applyAlignment="1">
      <alignment horizontal="center"/>
    </xf>
    <xf numFmtId="0" fontId="15" fillId="33" borderId="13" xfId="0" applyFont="1" applyFill="1" applyBorder="1" applyAlignment="1">
      <alignment horizontal="center" wrapText="1"/>
    </xf>
    <xf numFmtId="0" fontId="15" fillId="33" borderId="12" xfId="0" applyFont="1" applyFill="1" applyBorder="1" applyAlignment="1">
      <alignment horizontal="center" wrapText="1"/>
    </xf>
    <xf numFmtId="0" fontId="15" fillId="33" borderId="17" xfId="0" applyFont="1" applyFill="1" applyBorder="1" applyAlignment="1">
      <alignment horizontal="center" wrapText="1"/>
    </xf>
    <xf numFmtId="0" fontId="14" fillId="33" borderId="14" xfId="0" applyFont="1" applyFill="1" applyBorder="1" applyAlignment="1">
      <alignment horizontal="center" wrapText="1"/>
    </xf>
    <xf numFmtId="0" fontId="14" fillId="33" borderId="15" xfId="0" applyFont="1" applyFill="1" applyBorder="1" applyAlignment="1">
      <alignment horizontal="center" wrapText="1"/>
    </xf>
    <xf numFmtId="0" fontId="14" fillId="33" borderId="13" xfId="0" applyFont="1" applyFill="1" applyBorder="1" applyAlignment="1">
      <alignment horizontal="center" wrapText="1"/>
    </xf>
    <xf numFmtId="0" fontId="118" fillId="0" borderId="0" xfId="0" applyFont="1" applyFill="1" applyBorder="1" applyAlignment="1">
      <alignment horizontal="center" wrapText="1"/>
    </xf>
    <xf numFmtId="0" fontId="10" fillId="40" borderId="10" xfId="0" applyFont="1" applyFill="1" applyBorder="1" applyAlignment="1">
      <alignment horizontal="center" wrapText="1"/>
    </xf>
    <xf numFmtId="0" fontId="24" fillId="33" borderId="13" xfId="0" applyFont="1" applyFill="1" applyBorder="1" applyAlignment="1">
      <alignment horizontal="center"/>
    </xf>
    <xf numFmtId="0" fontId="24" fillId="33" borderId="38" xfId="0" applyFont="1" applyFill="1" applyBorder="1" applyAlignment="1">
      <alignment horizontal="center" wrapText="1"/>
    </xf>
    <xf numFmtId="0" fontId="24" fillId="33" borderId="44" xfId="0" applyFont="1" applyFill="1" applyBorder="1" applyAlignment="1">
      <alignment horizontal="center" wrapText="1"/>
    </xf>
    <xf numFmtId="0" fontId="24" fillId="33" borderId="47" xfId="0" applyFont="1" applyFill="1" applyBorder="1" applyAlignment="1">
      <alignment horizontal="center" wrapText="1"/>
    </xf>
    <xf numFmtId="0" fontId="24" fillId="33" borderId="38" xfId="0" applyFont="1" applyFill="1" applyBorder="1" applyAlignment="1">
      <alignment horizontal="center"/>
    </xf>
    <xf numFmtId="0" fontId="24" fillId="33" borderId="44" xfId="0" applyFont="1" applyFill="1" applyBorder="1" applyAlignment="1">
      <alignment horizontal="center"/>
    </xf>
    <xf numFmtId="0" fontId="24" fillId="33" borderId="47" xfId="0" applyFont="1" applyFill="1" applyBorder="1" applyAlignment="1">
      <alignment horizontal="center"/>
    </xf>
    <xf numFmtId="0" fontId="24" fillId="33" borderId="12" xfId="0" applyFont="1" applyFill="1" applyBorder="1" applyAlignment="1">
      <alignment horizontal="center"/>
    </xf>
  </cellXfs>
  <cellStyles count="10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2" xfId="45"/>
    <cellStyle name="Comma 2 2" xfId="46"/>
    <cellStyle name="Comma 2 3" xfId="47"/>
    <cellStyle name="Comma 2 4" xfId="48"/>
    <cellStyle name="Comma 3" xfId="49"/>
    <cellStyle name="Comma 3 2" xfId="50"/>
    <cellStyle name="Comma 3 2 2" xfId="51"/>
    <cellStyle name="Comma 3 3" xfId="52"/>
    <cellStyle name="Comma 4" xfId="53"/>
    <cellStyle name="Comma 5" xfId="54"/>
    <cellStyle name="Comma 6" xfId="55"/>
    <cellStyle name="Comma 6 2" xfId="56"/>
    <cellStyle name="Comma 6 2 2" xfId="57"/>
    <cellStyle name="Comma 6 3" xfId="58"/>
    <cellStyle name="Comma 7" xfId="59"/>
    <cellStyle name="Comma 7 2" xfId="60"/>
    <cellStyle name="Comma 7 2 2" xfId="61"/>
    <cellStyle name="Comma 7 3" xfId="62"/>
    <cellStyle name="Comma 8" xfId="63"/>
    <cellStyle name="Comma 9" xfId="64"/>
    <cellStyle name="Currency" xfId="65"/>
    <cellStyle name="Currency [0]" xfId="66"/>
    <cellStyle name="Explanatory Text" xfId="67"/>
    <cellStyle name="Followed Hyperlink" xfId="68"/>
    <cellStyle name="Good" xfId="69"/>
    <cellStyle name="Heading 1" xfId="70"/>
    <cellStyle name="Heading 2" xfId="71"/>
    <cellStyle name="Heading 3" xfId="72"/>
    <cellStyle name="Heading 4" xfId="73"/>
    <cellStyle name="Hyperlink" xfId="74"/>
    <cellStyle name="Input" xfId="75"/>
    <cellStyle name="Linked Cell" xfId="76"/>
    <cellStyle name="Neutral" xfId="77"/>
    <cellStyle name="Normal 10" xfId="78"/>
    <cellStyle name="Normal 11" xfId="79"/>
    <cellStyle name="Normal 12" xfId="80"/>
    <cellStyle name="Normal 13" xfId="81"/>
    <cellStyle name="Normal 2" xfId="82"/>
    <cellStyle name="Normal 2 2" xfId="83"/>
    <cellStyle name="Normal 2 3" xfId="84"/>
    <cellStyle name="Normal 2 3 2" xfId="85"/>
    <cellStyle name="Normal 3" xfId="86"/>
    <cellStyle name="Normal 3 2" xfId="87"/>
    <cellStyle name="Normal 4" xfId="88"/>
    <cellStyle name="Normal 4 2" xfId="89"/>
    <cellStyle name="Normal 5" xfId="90"/>
    <cellStyle name="Normal 6" xfId="91"/>
    <cellStyle name="Normal 6 2" xfId="92"/>
    <cellStyle name="Normal 6 2 2" xfId="93"/>
    <cellStyle name="Normal 6 3" xfId="94"/>
    <cellStyle name="Normal 7" xfId="95"/>
    <cellStyle name="Normal 8" xfId="96"/>
    <cellStyle name="Normal 8 2" xfId="97"/>
    <cellStyle name="Normal 9" xfId="98"/>
    <cellStyle name="Normal_Sheet1" xfId="99"/>
    <cellStyle name="Note" xfId="100"/>
    <cellStyle name="Output" xfId="101"/>
    <cellStyle name="Percent" xfId="102"/>
    <cellStyle name="Style 1" xfId="103"/>
    <cellStyle name="Style 1 2" xfId="104"/>
    <cellStyle name="Style 1 3" xfId="105"/>
    <cellStyle name="Style 1 4" xfId="106"/>
    <cellStyle name="Title" xfId="107"/>
    <cellStyle name="Total" xfId="108"/>
    <cellStyle name="Warning Text" xfId="109"/>
    <cellStyle name="Обычный 2" xfId="110"/>
    <cellStyle name="Обычный 3" xfId="111"/>
    <cellStyle name="Обычный 4" xfId="112"/>
    <cellStyle name="Стиль 1" xfId="113"/>
    <cellStyle name="Стиль 1 2" xfId="114"/>
    <cellStyle name="Стиль 1 2 2" xfId="115"/>
    <cellStyle name="Стиль 1 2 3" xfId="116"/>
    <cellStyle name="Финансовый 2" xfId="117"/>
    <cellStyle name="Финансовый 2 2" xfId="118"/>
    <cellStyle name="Финансовый 3" xfId="119"/>
    <cellStyle name="Финансовый 3 2" xfId="120"/>
    <cellStyle name="Финансовый 4" xfId="121"/>
  </cellStyles>
  <dxfs count="2"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I15" sqref="I15"/>
    </sheetView>
  </sheetViews>
  <sheetFormatPr defaultColWidth="9.140625" defaultRowHeight="12.75"/>
  <cols>
    <col min="1" max="3" width="7.28125" style="21" customWidth="1"/>
    <col min="4" max="4" width="9.140625" style="21" customWidth="1"/>
    <col min="5" max="5" width="12.28125" style="21" customWidth="1"/>
    <col min="6" max="6" width="45.140625" style="21" customWidth="1"/>
    <col min="7" max="11" width="12.8515625" style="20" customWidth="1"/>
    <col min="12" max="16384" width="9.140625" style="21" customWidth="1"/>
  </cols>
  <sheetData>
    <row r="1" spans="7:11" s="33" customFormat="1" ht="23.25" customHeight="1">
      <c r="G1" s="2"/>
      <c r="H1" s="3" t="s">
        <v>26</v>
      </c>
      <c r="I1" s="3"/>
      <c r="J1" s="3"/>
      <c r="K1" s="3"/>
    </row>
    <row r="2" spans="7:11" s="33" customFormat="1" ht="13.5">
      <c r="G2" s="3"/>
      <c r="H2" s="3"/>
      <c r="I2" s="3" t="s">
        <v>27</v>
      </c>
      <c r="J2" s="3"/>
      <c r="K2" s="3"/>
    </row>
    <row r="3" spans="1:11" s="33" customFormat="1" ht="27" customHeight="1" thickBot="1">
      <c r="A3" s="887" t="s">
        <v>588</v>
      </c>
      <c r="B3" s="887"/>
      <c r="C3" s="887"/>
      <c r="D3" s="887"/>
      <c r="E3" s="887"/>
      <c r="F3" s="887"/>
      <c r="G3" s="887"/>
      <c r="H3" s="3"/>
      <c r="I3" s="3"/>
      <c r="J3" s="3"/>
      <c r="K3" s="3"/>
    </row>
    <row r="4" spans="1:11" s="33" customFormat="1" ht="14.25">
      <c r="A4" s="884" t="s">
        <v>28</v>
      </c>
      <c r="B4" s="884"/>
      <c r="C4" s="884"/>
      <c r="D4" s="884"/>
      <c r="G4" s="25"/>
      <c r="H4" s="3"/>
      <c r="I4" s="3"/>
      <c r="J4" s="3"/>
      <c r="K4" s="3"/>
    </row>
    <row r="5" spans="7:11" s="33" customFormat="1" ht="13.5">
      <c r="G5" s="10"/>
      <c r="H5" s="10"/>
      <c r="I5" s="10"/>
      <c r="J5" s="10"/>
      <c r="K5" s="10"/>
    </row>
    <row r="6" spans="7:11" s="33" customFormat="1" ht="13.5" customHeight="1">
      <c r="G6" s="9"/>
      <c r="H6" s="10"/>
      <c r="I6" s="598" t="s">
        <v>442</v>
      </c>
      <c r="J6" s="598" t="s">
        <v>442</v>
      </c>
      <c r="K6" s="598" t="s">
        <v>442</v>
      </c>
    </row>
    <row r="7" spans="1:12" s="295" customFormat="1" ht="13.5" customHeight="1">
      <c r="A7" s="890" t="s">
        <v>398</v>
      </c>
      <c r="B7" s="890" t="s">
        <v>399</v>
      </c>
      <c r="C7" s="890" t="s">
        <v>400</v>
      </c>
      <c r="D7" s="890" t="s">
        <v>401</v>
      </c>
      <c r="E7" s="890"/>
      <c r="F7" s="890" t="s">
        <v>430</v>
      </c>
      <c r="G7" s="885" t="s">
        <v>499</v>
      </c>
      <c r="H7" s="885" t="s">
        <v>500</v>
      </c>
      <c r="I7" s="885" t="s">
        <v>453</v>
      </c>
      <c r="J7" s="885" t="s">
        <v>470</v>
      </c>
      <c r="K7" s="885" t="s">
        <v>501</v>
      </c>
      <c r="L7" s="294"/>
    </row>
    <row r="8" spans="1:12" s="295" customFormat="1" ht="26.25" customHeight="1">
      <c r="A8" s="890"/>
      <c r="B8" s="890"/>
      <c r="C8" s="890"/>
      <c r="D8" s="550" t="s">
        <v>402</v>
      </c>
      <c r="E8" s="550" t="s">
        <v>403</v>
      </c>
      <c r="F8" s="890"/>
      <c r="G8" s="886"/>
      <c r="H8" s="886"/>
      <c r="I8" s="886"/>
      <c r="J8" s="886"/>
      <c r="K8" s="886"/>
      <c r="L8" s="294"/>
    </row>
    <row r="9" spans="1:12" s="295" customFormat="1" ht="12.75">
      <c r="A9" s="575">
        <v>1</v>
      </c>
      <c r="B9" s="575">
        <v>2</v>
      </c>
      <c r="C9" s="575">
        <v>3</v>
      </c>
      <c r="D9" s="575">
        <v>4</v>
      </c>
      <c r="E9" s="552">
        <v>5</v>
      </c>
      <c r="F9" s="552">
        <v>6</v>
      </c>
      <c r="G9" s="552">
        <v>7</v>
      </c>
      <c r="H9" s="552">
        <v>8</v>
      </c>
      <c r="I9" s="552">
        <v>9</v>
      </c>
      <c r="J9" s="552">
        <v>10</v>
      </c>
      <c r="K9" s="552">
        <v>11</v>
      </c>
      <c r="L9" s="294"/>
    </row>
    <row r="10" spans="1:11" ht="16.5">
      <c r="A10" s="628">
        <v>1</v>
      </c>
      <c r="B10" s="628">
        <v>1</v>
      </c>
      <c r="C10" s="628">
        <v>1</v>
      </c>
      <c r="D10" s="628">
        <v>1057</v>
      </c>
      <c r="E10" s="627"/>
      <c r="F10" s="551" t="s">
        <v>404</v>
      </c>
      <c r="G10" s="27"/>
      <c r="H10" s="27"/>
      <c r="I10" s="27"/>
      <c r="J10" s="27"/>
      <c r="K10" s="27"/>
    </row>
    <row r="11" spans="1:11" ht="64.5" customHeight="1">
      <c r="A11" s="888"/>
      <c r="B11" s="888"/>
      <c r="C11" s="888"/>
      <c r="D11" s="888"/>
      <c r="E11" s="893"/>
      <c r="F11" s="739" t="s">
        <v>607</v>
      </c>
      <c r="G11" s="19"/>
      <c r="H11" s="19"/>
      <c r="I11" s="19"/>
      <c r="J11" s="19"/>
      <c r="K11" s="19"/>
    </row>
    <row r="12" spans="1:11" ht="31.5" customHeight="1">
      <c r="A12" s="888"/>
      <c r="B12" s="888"/>
      <c r="C12" s="888"/>
      <c r="D12" s="888"/>
      <c r="E12" s="894"/>
      <c r="F12" s="306" t="s">
        <v>441</v>
      </c>
      <c r="G12" s="19">
        <f>+G15+G17</f>
        <v>1576044.9900000005</v>
      </c>
      <c r="H12" s="19">
        <f>+H15+H17</f>
        <v>1587580.6</v>
      </c>
      <c r="I12" s="19">
        <f>+I15+I17</f>
        <v>1615907.1999999997</v>
      </c>
      <c r="J12" s="19">
        <f>+J15+J17</f>
        <v>1621498.3999999997</v>
      </c>
      <c r="K12" s="19">
        <f>+K15+K17</f>
        <v>1636718.7999999996</v>
      </c>
    </row>
    <row r="13" spans="1:11" ht="24" customHeight="1">
      <c r="A13" s="888"/>
      <c r="B13" s="888"/>
      <c r="C13" s="888"/>
      <c r="D13" s="888"/>
      <c r="E13" s="895"/>
      <c r="F13" s="559" t="s">
        <v>404</v>
      </c>
      <c r="G13" s="19"/>
      <c r="H13" s="19"/>
      <c r="I13" s="19"/>
      <c r="J13" s="19"/>
      <c r="K13" s="19"/>
    </row>
    <row r="14" spans="1:11" ht="54.75" customHeight="1">
      <c r="A14" s="888"/>
      <c r="B14" s="888"/>
      <c r="C14" s="888"/>
      <c r="D14" s="888"/>
      <c r="E14" s="891">
        <v>11001</v>
      </c>
      <c r="F14" s="739" t="s">
        <v>608</v>
      </c>
      <c r="G14" s="19"/>
      <c r="H14" s="19"/>
      <c r="I14" s="19"/>
      <c r="J14" s="19"/>
      <c r="K14" s="19"/>
    </row>
    <row r="15" spans="1:11" ht="31.5" customHeight="1">
      <c r="A15" s="888"/>
      <c r="B15" s="888"/>
      <c r="C15" s="888"/>
      <c r="D15" s="888"/>
      <c r="E15" s="892"/>
      <c r="F15" s="306" t="s">
        <v>443</v>
      </c>
      <c r="G15" s="19">
        <f>+'2-ԸՆԴԱՄԵՆԸ ԾԱԽՍԵՐ'!E16</f>
        <v>1566694.7400000005</v>
      </c>
      <c r="H15" s="19">
        <f>+'2-ԸՆԴԱՄԵՆԸ ԾԱԽՍԵՐ'!F16</f>
        <v>1585730.6</v>
      </c>
      <c r="I15" s="19">
        <f>+'2-ԸՆԴԱՄԵՆԸ ԾԱԽՍԵՐ'!G16</f>
        <v>1588937.4999999998</v>
      </c>
      <c r="J15" s="19">
        <f>+'2-ԸՆԴԱՄԵՆԸ ԾԱԽՍԵՐ'!K16</f>
        <v>1611498.3999999997</v>
      </c>
      <c r="K15" s="19">
        <f>+'2-ԸՆԴԱՄԵՆԸ ԾԱԽՍԵՐ'!L16</f>
        <v>1626718.7999999996</v>
      </c>
    </row>
    <row r="16" spans="1:11" ht="61.5" customHeight="1">
      <c r="A16" s="888"/>
      <c r="B16" s="888"/>
      <c r="C16" s="888"/>
      <c r="D16" s="888"/>
      <c r="E16" s="891">
        <v>31001</v>
      </c>
      <c r="F16" s="739" t="s">
        <v>609</v>
      </c>
      <c r="G16" s="19"/>
      <c r="H16" s="19"/>
      <c r="I16" s="19"/>
      <c r="J16" s="19"/>
      <c r="K16" s="19"/>
    </row>
    <row r="17" spans="1:11" ht="47.25" customHeight="1">
      <c r="A17" s="889"/>
      <c r="B17" s="889"/>
      <c r="C17" s="889"/>
      <c r="D17" s="889"/>
      <c r="E17" s="892"/>
      <c r="F17" s="306" t="s">
        <v>444</v>
      </c>
      <c r="G17" s="19">
        <f>+'2-ԸՆԴԱՄԵՆԸ ԾԱԽՍԵՐ'!E89</f>
        <v>9350.25</v>
      </c>
      <c r="H17" s="19">
        <f>+'2-ԸՆԴԱՄԵՆԸ ԾԱԽՍԵՐ'!F89</f>
        <v>1850</v>
      </c>
      <c r="I17" s="19">
        <f>+'2-ԸՆԴԱՄԵՆԸ ԾԱԽՍԵՐ'!G89</f>
        <v>26969.7</v>
      </c>
      <c r="J17" s="19">
        <f>+'2-ԸՆԴԱՄԵՆԸ ԾԱԽՍԵՐ'!K89</f>
        <v>10000</v>
      </c>
      <c r="K17" s="19">
        <f>+'2-ԸՆԴԱՄԵՆԸ ԾԱԽՍԵՐ'!L89</f>
        <v>10000</v>
      </c>
    </row>
  </sheetData>
  <sheetProtection/>
  <mergeCells count="19">
    <mergeCell ref="A7:A8"/>
    <mergeCell ref="F7:F8"/>
    <mergeCell ref="H7:H8"/>
    <mergeCell ref="C7:C8"/>
    <mergeCell ref="E16:E17"/>
    <mergeCell ref="E14:E15"/>
    <mergeCell ref="D7:E7"/>
    <mergeCell ref="E11:E13"/>
    <mergeCell ref="B7:B8"/>
    <mergeCell ref="A4:D4"/>
    <mergeCell ref="J7:J8"/>
    <mergeCell ref="K7:K8"/>
    <mergeCell ref="A3:G3"/>
    <mergeCell ref="A11:A17"/>
    <mergeCell ref="B11:B17"/>
    <mergeCell ref="C11:C17"/>
    <mergeCell ref="G7:G8"/>
    <mergeCell ref="I7:I8"/>
    <mergeCell ref="D11:D17"/>
  </mergeCells>
  <printOptions/>
  <pageMargins left="0.17" right="0.17" top="1" bottom="1" header="0.26" footer="0.5"/>
  <pageSetup horizontalDpi="600" verticalDpi="600"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25"/>
  <sheetViews>
    <sheetView zoomScalePageLayoutView="0" workbookViewId="0" topLeftCell="D1">
      <selection activeCell="R45" sqref="R45"/>
    </sheetView>
  </sheetViews>
  <sheetFormatPr defaultColWidth="9.140625" defaultRowHeight="12.75"/>
  <cols>
    <col min="1" max="1" width="3.421875" style="4" customWidth="1"/>
    <col min="2" max="2" width="22.7109375" style="5" customWidth="1"/>
    <col min="3" max="3" width="19.7109375" style="5" customWidth="1"/>
    <col min="4" max="4" width="9.8515625" style="5" bestFit="1" customWidth="1"/>
    <col min="5" max="5" width="8.7109375" style="5" bestFit="1" customWidth="1"/>
    <col min="6" max="6" width="6.8515625" style="186" customWidth="1"/>
    <col min="7" max="7" width="11.57421875" style="186" customWidth="1"/>
    <col min="8" max="8" width="9.57421875" style="5" bestFit="1" customWidth="1"/>
    <col min="9" max="9" width="9.57421875" style="5" customWidth="1"/>
    <col min="10" max="10" width="10.8515625" style="5" bestFit="1" customWidth="1"/>
    <col min="11" max="11" width="9.7109375" style="5" customWidth="1"/>
    <col min="12" max="12" width="11.140625" style="5" customWidth="1"/>
    <col min="13" max="13" width="7.28125" style="186" customWidth="1"/>
    <col min="14" max="14" width="11.57421875" style="186" customWidth="1"/>
    <col min="15" max="15" width="9.57421875" style="5" bestFit="1" customWidth="1"/>
    <col min="16" max="16" width="9.57421875" style="5" customWidth="1"/>
    <col min="17" max="17" width="10.8515625" style="5" bestFit="1" customWidth="1"/>
    <col min="18" max="18" width="9.57421875" style="5" customWidth="1"/>
    <col min="19" max="19" width="11.140625" style="5" customWidth="1"/>
    <col min="20" max="20" width="10.7109375" style="5" bestFit="1" customWidth="1"/>
    <col min="21" max="16384" width="9.140625" style="5" customWidth="1"/>
  </cols>
  <sheetData>
    <row r="1" spans="1:24" s="33" customFormat="1" ht="13.5">
      <c r="A1" s="340"/>
      <c r="B1" s="3"/>
      <c r="C1" s="3"/>
      <c r="D1" s="3"/>
      <c r="E1" s="3"/>
      <c r="F1" s="3"/>
      <c r="G1" s="124"/>
      <c r="H1" s="124"/>
      <c r="I1" s="124"/>
      <c r="J1" s="3"/>
      <c r="K1" s="3"/>
      <c r="L1" s="152"/>
      <c r="M1" s="152"/>
      <c r="N1" s="152"/>
      <c r="O1" s="152"/>
      <c r="P1" s="152"/>
      <c r="Q1" s="32"/>
      <c r="R1" s="137" t="s">
        <v>156</v>
      </c>
      <c r="S1" s="3"/>
      <c r="T1" s="902"/>
      <c r="U1" s="902"/>
      <c r="V1" s="902"/>
      <c r="W1" s="902"/>
      <c r="X1" s="902"/>
    </row>
    <row r="2" spans="1:24" s="33" customFormat="1" ht="12.75" customHeight="1">
      <c r="A2" s="340"/>
      <c r="B2" s="3"/>
      <c r="C2" s="3"/>
      <c r="D2" s="3"/>
      <c r="E2" s="3"/>
      <c r="F2" s="3"/>
      <c r="G2" s="124"/>
      <c r="H2" s="124"/>
      <c r="I2" s="124"/>
      <c r="J2" s="3"/>
      <c r="K2" s="3"/>
      <c r="L2" s="152"/>
      <c r="M2" s="152"/>
      <c r="N2" s="152"/>
      <c r="O2" s="152"/>
      <c r="P2" s="152"/>
      <c r="Q2" s="902" t="s">
        <v>27</v>
      </c>
      <c r="R2" s="902"/>
      <c r="S2" s="902"/>
      <c r="T2" s="902"/>
      <c r="U2" s="902"/>
      <c r="V2" s="902"/>
      <c r="W2" s="902"/>
      <c r="X2" s="902"/>
    </row>
    <row r="3" spans="2:21" s="33" customFormat="1" ht="15" customHeight="1" thickBot="1">
      <c r="B3" s="926" t="s">
        <v>671</v>
      </c>
      <c r="C3" s="926"/>
      <c r="D3" s="926"/>
      <c r="E3" s="926"/>
      <c r="F3" s="926"/>
      <c r="G3" s="7"/>
      <c r="H3" s="7"/>
      <c r="I3" s="7"/>
      <c r="J3" s="346"/>
      <c r="K3" s="346"/>
      <c r="L3" s="152"/>
      <c r="M3" s="152"/>
      <c r="N3" s="152"/>
      <c r="O3" s="152"/>
      <c r="P3" s="152"/>
      <c r="Q3" s="152"/>
      <c r="R3" s="152"/>
      <c r="S3" s="152"/>
      <c r="U3" s="33" t="s">
        <v>0</v>
      </c>
    </row>
    <row r="4" spans="1:19" s="33" customFormat="1" ht="18" customHeight="1">
      <c r="A4" s="32"/>
      <c r="B4" s="932" t="s">
        <v>171</v>
      </c>
      <c r="C4" s="932"/>
      <c r="D4" s="932"/>
      <c r="E4" s="932"/>
      <c r="F4" s="932"/>
      <c r="G4" s="932"/>
      <c r="H4" s="932"/>
      <c r="I4" s="932"/>
      <c r="J4" s="932"/>
      <c r="K4" s="932"/>
      <c r="L4" s="932"/>
      <c r="M4" s="40"/>
      <c r="N4" s="40"/>
      <c r="O4" s="40"/>
      <c r="P4" s="40"/>
      <c r="Q4" s="40"/>
      <c r="R4" s="40"/>
      <c r="S4" s="40"/>
    </row>
    <row r="5" spans="1:19" s="33" customFormat="1" ht="13.5">
      <c r="A5" s="32"/>
      <c r="B5" s="192"/>
      <c r="C5" s="192"/>
      <c r="D5" s="192"/>
      <c r="E5" s="192"/>
      <c r="F5" s="347"/>
      <c r="G5" s="347"/>
      <c r="H5" s="192"/>
      <c r="I5" s="192"/>
      <c r="J5" s="192"/>
      <c r="K5" s="192"/>
      <c r="L5" s="192"/>
      <c r="M5" s="348"/>
      <c r="N5" s="348"/>
      <c r="O5" s="10"/>
      <c r="P5" s="10"/>
      <c r="Q5" s="10"/>
      <c r="R5" s="10"/>
      <c r="S5" s="10"/>
    </row>
    <row r="6" spans="1:19" s="33" customFormat="1" ht="14.25">
      <c r="A6" s="32"/>
      <c r="B6" s="932" t="s">
        <v>172</v>
      </c>
      <c r="C6" s="932"/>
      <c r="D6" s="932"/>
      <c r="E6" s="932"/>
      <c r="F6" s="932"/>
      <c r="G6" s="932"/>
      <c r="H6" s="932"/>
      <c r="I6" s="932"/>
      <c r="J6" s="932"/>
      <c r="K6" s="932"/>
      <c r="L6" s="932"/>
      <c r="M6" s="195"/>
      <c r="N6" s="195"/>
      <c r="O6" s="195"/>
      <c r="P6" s="195"/>
      <c r="Q6" s="195"/>
      <c r="R6" s="195"/>
      <c r="S6" s="195"/>
    </row>
    <row r="7" spans="1:19" s="33" customFormat="1" ht="14.25">
      <c r="A7" s="32"/>
      <c r="B7" s="195"/>
      <c r="C7" s="195"/>
      <c r="D7" s="195"/>
      <c r="E7" s="195"/>
      <c r="F7" s="195"/>
      <c r="G7" s="195"/>
      <c r="H7" s="195"/>
      <c r="I7" s="195"/>
      <c r="J7" s="195"/>
      <c r="K7" s="195"/>
      <c r="L7" s="195"/>
      <c r="M7" s="195"/>
      <c r="N7" s="195"/>
      <c r="O7" s="195"/>
      <c r="P7" s="195"/>
      <c r="Q7" s="195"/>
      <c r="R7" s="195"/>
      <c r="S7" s="195"/>
    </row>
    <row r="8" spans="1:20" s="33" customFormat="1" ht="15" thickBot="1">
      <c r="A8" s="32"/>
      <c r="B8" s="195"/>
      <c r="C8" s="195"/>
      <c r="D8" s="195"/>
      <c r="E8" s="195"/>
      <c r="F8" s="195"/>
      <c r="G8" s="195"/>
      <c r="H8" s="195"/>
      <c r="I8" s="195"/>
      <c r="J8" s="195"/>
      <c r="K8" s="195"/>
      <c r="L8" s="195"/>
      <c r="M8" s="195"/>
      <c r="N8" s="195"/>
      <c r="O8" s="195"/>
      <c r="P8" s="195"/>
      <c r="Q8" s="195"/>
      <c r="R8" s="195"/>
      <c r="S8" s="938" t="s">
        <v>173</v>
      </c>
      <c r="T8" s="938"/>
    </row>
    <row r="9" spans="1:20" ht="15" thickBot="1">
      <c r="A9" s="153"/>
      <c r="B9" s="154"/>
      <c r="C9" s="599"/>
      <c r="D9" s="935" t="s">
        <v>515</v>
      </c>
      <c r="E9" s="936"/>
      <c r="F9" s="929" t="s">
        <v>451</v>
      </c>
      <c r="G9" s="930"/>
      <c r="H9" s="930"/>
      <c r="I9" s="930"/>
      <c r="J9" s="930"/>
      <c r="K9" s="930"/>
      <c r="L9" s="931"/>
      <c r="M9" s="937" t="s">
        <v>452</v>
      </c>
      <c r="N9" s="930"/>
      <c r="O9" s="930"/>
      <c r="P9" s="930"/>
      <c r="Q9" s="930"/>
      <c r="R9" s="930"/>
      <c r="S9" s="931"/>
      <c r="T9" s="155"/>
    </row>
    <row r="10" spans="1:20" ht="21.75" customHeight="1">
      <c r="A10" s="156"/>
      <c r="B10" s="157"/>
      <c r="C10" s="600"/>
      <c r="D10" s="290"/>
      <c r="E10" s="290"/>
      <c r="F10" s="292"/>
      <c r="G10" s="158"/>
      <c r="H10" s="158"/>
      <c r="I10" s="933" t="s">
        <v>181</v>
      </c>
      <c r="J10" s="934"/>
      <c r="K10" s="158"/>
      <c r="L10" s="159"/>
      <c r="M10" s="160"/>
      <c r="N10" s="158"/>
      <c r="O10" s="158"/>
      <c r="P10" s="933" t="s">
        <v>181</v>
      </c>
      <c r="Q10" s="934"/>
      <c r="R10" s="158"/>
      <c r="S10" s="159"/>
      <c r="T10" s="161"/>
    </row>
    <row r="11" spans="1:20" s="16" customFormat="1" ht="63.75" customHeight="1" thickBot="1">
      <c r="A11" s="162" t="s">
        <v>111</v>
      </c>
      <c r="B11" s="163" t="s">
        <v>174</v>
      </c>
      <c r="C11" s="601" t="s">
        <v>445</v>
      </c>
      <c r="D11" s="291" t="s">
        <v>176</v>
      </c>
      <c r="E11" s="291" t="s">
        <v>180</v>
      </c>
      <c r="F11" s="287" t="s">
        <v>175</v>
      </c>
      <c r="G11" s="164" t="s">
        <v>176</v>
      </c>
      <c r="H11" s="164" t="s">
        <v>177</v>
      </c>
      <c r="I11" s="165" t="s">
        <v>178</v>
      </c>
      <c r="J11" s="165" t="s">
        <v>110</v>
      </c>
      <c r="K11" s="164" t="s">
        <v>179</v>
      </c>
      <c r="L11" s="166" t="s">
        <v>180</v>
      </c>
      <c r="M11" s="167" t="s">
        <v>175</v>
      </c>
      <c r="N11" s="164" t="s">
        <v>176</v>
      </c>
      <c r="O11" s="164" t="s">
        <v>177</v>
      </c>
      <c r="P11" s="165" t="s">
        <v>178</v>
      </c>
      <c r="Q11" s="165" t="s">
        <v>110</v>
      </c>
      <c r="R11" s="164" t="s">
        <v>182</v>
      </c>
      <c r="S11" s="166" t="s">
        <v>180</v>
      </c>
      <c r="T11" s="168" t="s">
        <v>183</v>
      </c>
    </row>
    <row r="12" spans="1:20" s="16" customFormat="1" ht="13.5" thickBot="1">
      <c r="A12" s="101">
        <v>1</v>
      </c>
      <c r="B12" s="102">
        <v>2</v>
      </c>
      <c r="C12" s="101">
        <v>3</v>
      </c>
      <c r="D12" s="102">
        <v>4</v>
      </c>
      <c r="E12" s="101">
        <v>5</v>
      </c>
      <c r="F12" s="102">
        <v>6</v>
      </c>
      <c r="G12" s="101">
        <v>7</v>
      </c>
      <c r="H12" s="102">
        <v>8</v>
      </c>
      <c r="I12" s="101">
        <v>9</v>
      </c>
      <c r="J12" s="102">
        <v>10</v>
      </c>
      <c r="K12" s="101">
        <v>11</v>
      </c>
      <c r="L12" s="102">
        <v>12</v>
      </c>
      <c r="M12" s="101">
        <v>13</v>
      </c>
      <c r="N12" s="102">
        <v>14</v>
      </c>
      <c r="O12" s="101">
        <v>15</v>
      </c>
      <c r="P12" s="102">
        <v>16</v>
      </c>
      <c r="Q12" s="101">
        <v>17</v>
      </c>
      <c r="R12" s="102">
        <v>18</v>
      </c>
      <c r="S12" s="101">
        <v>19</v>
      </c>
      <c r="T12" s="101">
        <v>20</v>
      </c>
    </row>
    <row r="13" spans="1:20" ht="20.25" customHeight="1">
      <c r="A13" s="169">
        <v>1</v>
      </c>
      <c r="B13" s="170" t="s">
        <v>661</v>
      </c>
      <c r="C13" s="170"/>
      <c r="D13" s="170"/>
      <c r="E13" s="170"/>
      <c r="F13" s="108">
        <v>6</v>
      </c>
      <c r="G13" s="108">
        <v>14</v>
      </c>
      <c r="H13" s="171">
        <f>F13*G13*3</f>
        <v>252</v>
      </c>
      <c r="I13" s="171">
        <v>25</v>
      </c>
      <c r="J13" s="171">
        <f>(F13-1)*G13*I13</f>
        <v>1750</v>
      </c>
      <c r="K13" s="171">
        <v>2</v>
      </c>
      <c r="L13" s="171">
        <f>H13+J13+(K13*G13*2)</f>
        <v>2058</v>
      </c>
      <c r="M13" s="108">
        <v>6</v>
      </c>
      <c r="N13" s="108">
        <v>14</v>
      </c>
      <c r="O13" s="171">
        <f>M13*N13*3</f>
        <v>252</v>
      </c>
      <c r="P13" s="171">
        <v>25</v>
      </c>
      <c r="Q13" s="171">
        <f>(M13-1)*N13*P13</f>
        <v>1750</v>
      </c>
      <c r="R13" s="171">
        <v>2</v>
      </c>
      <c r="S13" s="171">
        <f>O13+Q13+(R13*N13*2)</f>
        <v>2058</v>
      </c>
      <c r="T13" s="172">
        <f>S13-L13</f>
        <v>0</v>
      </c>
    </row>
    <row r="14" spans="1:20" ht="20.25" customHeight="1">
      <c r="A14" s="173">
        <v>2</v>
      </c>
      <c r="B14" s="174" t="s">
        <v>662</v>
      </c>
      <c r="C14" s="170"/>
      <c r="D14" s="170"/>
      <c r="E14" s="170"/>
      <c r="F14" s="108">
        <v>20</v>
      </c>
      <c r="G14" s="108">
        <v>9</v>
      </c>
      <c r="H14" s="171">
        <f aca="true" t="shared" si="0" ref="H14:H23">F14*G14*3</f>
        <v>540</v>
      </c>
      <c r="I14" s="171">
        <v>20</v>
      </c>
      <c r="J14" s="171">
        <f aca="true" t="shared" si="1" ref="J14:J23">(F14-1)*G14*I14</f>
        <v>3420</v>
      </c>
      <c r="K14" s="108">
        <v>2</v>
      </c>
      <c r="L14" s="175">
        <f aca="true" t="shared" si="2" ref="L14:L23">H14+J14+(K14*G14*2)</f>
        <v>3996</v>
      </c>
      <c r="M14" s="108">
        <v>20</v>
      </c>
      <c r="N14" s="108">
        <v>9</v>
      </c>
      <c r="O14" s="171">
        <f aca="true" t="shared" si="3" ref="O14:O23">M14*N14*3</f>
        <v>540</v>
      </c>
      <c r="P14" s="171">
        <v>20</v>
      </c>
      <c r="Q14" s="171">
        <f aca="true" t="shared" si="4" ref="Q14:Q23">(M14-1)*N14*P14</f>
        <v>3420</v>
      </c>
      <c r="R14" s="108">
        <v>2</v>
      </c>
      <c r="S14" s="175">
        <f aca="true" t="shared" si="5" ref="S14:S23">O14+Q14+(R14*N14*2)</f>
        <v>3996</v>
      </c>
      <c r="T14" s="172">
        <f>S14-L14</f>
        <v>0</v>
      </c>
    </row>
    <row r="15" spans="1:20" ht="20.25" customHeight="1">
      <c r="A15" s="173">
        <v>3</v>
      </c>
      <c r="B15" s="174" t="s">
        <v>662</v>
      </c>
      <c r="C15" s="170"/>
      <c r="D15" s="170"/>
      <c r="E15" s="170"/>
      <c r="F15" s="108">
        <v>6</v>
      </c>
      <c r="G15" s="108">
        <v>6</v>
      </c>
      <c r="H15" s="171">
        <f t="shared" si="0"/>
        <v>108</v>
      </c>
      <c r="I15" s="171">
        <v>20</v>
      </c>
      <c r="J15" s="171">
        <f>(F15-1)*G15*I15</f>
        <v>600</v>
      </c>
      <c r="K15" s="171">
        <v>1.5</v>
      </c>
      <c r="L15" s="175">
        <f t="shared" si="2"/>
        <v>726</v>
      </c>
      <c r="M15" s="108">
        <v>6</v>
      </c>
      <c r="N15" s="108">
        <v>6</v>
      </c>
      <c r="O15" s="171">
        <f t="shared" si="3"/>
        <v>108</v>
      </c>
      <c r="P15" s="171">
        <v>20</v>
      </c>
      <c r="Q15" s="171">
        <f t="shared" si="4"/>
        <v>600</v>
      </c>
      <c r="R15" s="171">
        <v>1.5</v>
      </c>
      <c r="S15" s="175">
        <f>O15+Q15+(R15*N15*2)</f>
        <v>726</v>
      </c>
      <c r="T15" s="172">
        <f>S15-L15</f>
        <v>0</v>
      </c>
    </row>
    <row r="16" spans="1:20" ht="20.25" customHeight="1">
      <c r="A16" s="173">
        <v>4</v>
      </c>
      <c r="B16" s="170" t="s">
        <v>661</v>
      </c>
      <c r="C16" s="170"/>
      <c r="D16" s="170"/>
      <c r="E16" s="170"/>
      <c r="F16" s="108">
        <v>3</v>
      </c>
      <c r="G16" s="108">
        <v>10</v>
      </c>
      <c r="H16" s="171">
        <f t="shared" si="0"/>
        <v>90</v>
      </c>
      <c r="I16" s="171"/>
      <c r="J16" s="171">
        <f t="shared" si="1"/>
        <v>0</v>
      </c>
      <c r="K16" s="108">
        <v>1.5</v>
      </c>
      <c r="L16" s="175">
        <f>H16+J16+(K16*G16*2)</f>
        <v>120</v>
      </c>
      <c r="M16" s="108">
        <v>3</v>
      </c>
      <c r="N16" s="108">
        <v>10</v>
      </c>
      <c r="O16" s="171">
        <f t="shared" si="3"/>
        <v>90</v>
      </c>
      <c r="P16" s="171"/>
      <c r="Q16" s="171">
        <f t="shared" si="4"/>
        <v>0</v>
      </c>
      <c r="R16" s="108">
        <v>1.5</v>
      </c>
      <c r="S16" s="175">
        <f t="shared" si="5"/>
        <v>120</v>
      </c>
      <c r="T16" s="172">
        <f aca="true" t="shared" si="6" ref="T16:T23">S16-L16</f>
        <v>0</v>
      </c>
    </row>
    <row r="17" spans="1:20" ht="20.25" customHeight="1">
      <c r="A17" s="173"/>
      <c r="B17" s="11"/>
      <c r="C17" s="288"/>
      <c r="D17" s="288"/>
      <c r="E17" s="288"/>
      <c r="F17" s="108"/>
      <c r="G17" s="108"/>
      <c r="H17" s="171">
        <f t="shared" si="0"/>
        <v>0</v>
      </c>
      <c r="I17" s="171"/>
      <c r="J17" s="171">
        <f t="shared" si="1"/>
        <v>0</v>
      </c>
      <c r="K17" s="108"/>
      <c r="L17" s="175">
        <f t="shared" si="2"/>
        <v>0</v>
      </c>
      <c r="M17" s="108"/>
      <c r="N17" s="108"/>
      <c r="O17" s="171">
        <f t="shared" si="3"/>
        <v>0</v>
      </c>
      <c r="P17" s="171"/>
      <c r="Q17" s="171">
        <f t="shared" si="4"/>
        <v>0</v>
      </c>
      <c r="R17" s="108"/>
      <c r="S17" s="175">
        <f t="shared" si="5"/>
        <v>0</v>
      </c>
      <c r="T17" s="172">
        <f t="shared" si="6"/>
        <v>0</v>
      </c>
    </row>
    <row r="18" spans="1:20" ht="20.25" customHeight="1">
      <c r="A18" s="173"/>
      <c r="B18" s="11"/>
      <c r="C18" s="288"/>
      <c r="D18" s="288"/>
      <c r="E18" s="288"/>
      <c r="F18" s="108"/>
      <c r="G18" s="108"/>
      <c r="H18" s="171">
        <f t="shared" si="0"/>
        <v>0</v>
      </c>
      <c r="I18" s="171"/>
      <c r="J18" s="171">
        <f t="shared" si="1"/>
        <v>0</v>
      </c>
      <c r="K18" s="108"/>
      <c r="L18" s="175">
        <f t="shared" si="2"/>
        <v>0</v>
      </c>
      <c r="M18" s="108"/>
      <c r="N18" s="108"/>
      <c r="O18" s="171">
        <f t="shared" si="3"/>
        <v>0</v>
      </c>
      <c r="P18" s="171"/>
      <c r="Q18" s="171">
        <f t="shared" si="4"/>
        <v>0</v>
      </c>
      <c r="R18" s="108"/>
      <c r="S18" s="175">
        <f t="shared" si="5"/>
        <v>0</v>
      </c>
      <c r="T18" s="172">
        <f t="shared" si="6"/>
        <v>0</v>
      </c>
    </row>
    <row r="19" spans="1:20" ht="20.25" customHeight="1">
      <c r="A19" s="173"/>
      <c r="B19" s="11"/>
      <c r="C19" s="288"/>
      <c r="D19" s="288"/>
      <c r="E19" s="288"/>
      <c r="F19" s="108"/>
      <c r="G19" s="108"/>
      <c r="H19" s="171">
        <f t="shared" si="0"/>
        <v>0</v>
      </c>
      <c r="I19" s="171"/>
      <c r="J19" s="171">
        <f t="shared" si="1"/>
        <v>0</v>
      </c>
      <c r="K19" s="108"/>
      <c r="L19" s="175">
        <f t="shared" si="2"/>
        <v>0</v>
      </c>
      <c r="M19" s="108"/>
      <c r="N19" s="108"/>
      <c r="O19" s="171">
        <f t="shared" si="3"/>
        <v>0</v>
      </c>
      <c r="P19" s="171"/>
      <c r="Q19" s="171">
        <f t="shared" si="4"/>
        <v>0</v>
      </c>
      <c r="R19" s="108"/>
      <c r="S19" s="175">
        <f t="shared" si="5"/>
        <v>0</v>
      </c>
      <c r="T19" s="172">
        <f t="shared" si="6"/>
        <v>0</v>
      </c>
    </row>
    <row r="20" spans="1:20" ht="20.25" customHeight="1">
      <c r="A20" s="173"/>
      <c r="B20" s="11"/>
      <c r="C20" s="288"/>
      <c r="D20" s="288"/>
      <c r="E20" s="288"/>
      <c r="F20" s="108"/>
      <c r="G20" s="108"/>
      <c r="H20" s="171">
        <f t="shared" si="0"/>
        <v>0</v>
      </c>
      <c r="I20" s="171"/>
      <c r="J20" s="171">
        <f t="shared" si="1"/>
        <v>0</v>
      </c>
      <c r="K20" s="108"/>
      <c r="L20" s="175">
        <f t="shared" si="2"/>
        <v>0</v>
      </c>
      <c r="M20" s="108"/>
      <c r="N20" s="108"/>
      <c r="O20" s="171">
        <f t="shared" si="3"/>
        <v>0</v>
      </c>
      <c r="P20" s="171"/>
      <c r="Q20" s="171">
        <f t="shared" si="4"/>
        <v>0</v>
      </c>
      <c r="R20" s="108"/>
      <c r="S20" s="175">
        <f t="shared" si="5"/>
        <v>0</v>
      </c>
      <c r="T20" s="172">
        <f t="shared" si="6"/>
        <v>0</v>
      </c>
    </row>
    <row r="21" spans="1:20" ht="25.5" customHeight="1">
      <c r="A21" s="173"/>
      <c r="B21" s="11"/>
      <c r="C21" s="288"/>
      <c r="D21" s="288"/>
      <c r="E21" s="288"/>
      <c r="F21" s="108"/>
      <c r="G21" s="108"/>
      <c r="H21" s="171">
        <f t="shared" si="0"/>
        <v>0</v>
      </c>
      <c r="I21" s="171"/>
      <c r="J21" s="171">
        <f t="shared" si="1"/>
        <v>0</v>
      </c>
      <c r="K21" s="108"/>
      <c r="L21" s="175">
        <f t="shared" si="2"/>
        <v>0</v>
      </c>
      <c r="M21" s="108"/>
      <c r="N21" s="108"/>
      <c r="O21" s="171">
        <f t="shared" si="3"/>
        <v>0</v>
      </c>
      <c r="P21" s="171"/>
      <c r="Q21" s="171">
        <f t="shared" si="4"/>
        <v>0</v>
      </c>
      <c r="R21" s="108"/>
      <c r="S21" s="175">
        <f t="shared" si="5"/>
        <v>0</v>
      </c>
      <c r="T21" s="172">
        <f t="shared" si="6"/>
        <v>0</v>
      </c>
    </row>
    <row r="22" spans="1:20" ht="15" customHeight="1">
      <c r="A22" s="173"/>
      <c r="B22" s="11"/>
      <c r="C22" s="288"/>
      <c r="D22" s="288"/>
      <c r="E22" s="288"/>
      <c r="F22" s="108"/>
      <c r="G22" s="108"/>
      <c r="H22" s="171">
        <f t="shared" si="0"/>
        <v>0</v>
      </c>
      <c r="I22" s="171"/>
      <c r="J22" s="171">
        <f t="shared" si="1"/>
        <v>0</v>
      </c>
      <c r="K22" s="108"/>
      <c r="L22" s="175">
        <f t="shared" si="2"/>
        <v>0</v>
      </c>
      <c r="M22" s="108"/>
      <c r="N22" s="108"/>
      <c r="O22" s="171">
        <f t="shared" si="3"/>
        <v>0</v>
      </c>
      <c r="P22" s="171"/>
      <c r="Q22" s="171">
        <f t="shared" si="4"/>
        <v>0</v>
      </c>
      <c r="R22" s="108"/>
      <c r="S22" s="175">
        <f t="shared" si="5"/>
        <v>0</v>
      </c>
      <c r="T22" s="172">
        <f t="shared" si="6"/>
        <v>0</v>
      </c>
    </row>
    <row r="23" spans="1:20" ht="16.5" customHeight="1" thickBot="1">
      <c r="A23" s="176"/>
      <c r="B23" s="177"/>
      <c r="C23" s="289"/>
      <c r="D23" s="289"/>
      <c r="E23" s="289"/>
      <c r="F23" s="108"/>
      <c r="G23" s="108"/>
      <c r="H23" s="171">
        <f t="shared" si="0"/>
        <v>0</v>
      </c>
      <c r="I23" s="171"/>
      <c r="J23" s="171">
        <f t="shared" si="1"/>
        <v>0</v>
      </c>
      <c r="K23" s="108"/>
      <c r="L23" s="175">
        <f t="shared" si="2"/>
        <v>0</v>
      </c>
      <c r="M23" s="108"/>
      <c r="N23" s="108"/>
      <c r="O23" s="171">
        <f t="shared" si="3"/>
        <v>0</v>
      </c>
      <c r="P23" s="171"/>
      <c r="Q23" s="171">
        <f t="shared" si="4"/>
        <v>0</v>
      </c>
      <c r="R23" s="108"/>
      <c r="S23" s="175">
        <f t="shared" si="5"/>
        <v>0</v>
      </c>
      <c r="T23" s="172">
        <f t="shared" si="6"/>
        <v>0</v>
      </c>
    </row>
    <row r="24" spans="1:20" ht="18" customHeight="1" thickBot="1">
      <c r="A24" s="178"/>
      <c r="B24" s="179" t="s">
        <v>110</v>
      </c>
      <c r="C24" s="179"/>
      <c r="D24" s="179"/>
      <c r="E24" s="179"/>
      <c r="F24" s="180"/>
      <c r="G24" s="180"/>
      <c r="H24" s="181">
        <f>SUM(H13:H23)</f>
        <v>990</v>
      </c>
      <c r="I24" s="181"/>
      <c r="J24" s="181">
        <f>SUM(J13:J23)</f>
        <v>5770</v>
      </c>
      <c r="K24" s="181"/>
      <c r="L24" s="181">
        <f>SUM(L13:L23)</f>
        <v>6900</v>
      </c>
      <c r="M24" s="180"/>
      <c r="N24" s="180"/>
      <c r="O24" s="181">
        <f>SUM(O13:O23)</f>
        <v>990</v>
      </c>
      <c r="P24" s="181"/>
      <c r="Q24" s="181">
        <f>SUM(Q13:Q23)</f>
        <v>5770</v>
      </c>
      <c r="R24" s="181"/>
      <c r="S24" s="181">
        <f>SUM(S13:S23)</f>
        <v>6900</v>
      </c>
      <c r="T24" s="182">
        <f>SUM(T13:T23)</f>
        <v>0</v>
      </c>
    </row>
    <row r="25" spans="2:19" ht="10.5" customHeight="1">
      <c r="B25" s="183"/>
      <c r="C25" s="183"/>
      <c r="D25" s="183"/>
      <c r="E25" s="183"/>
      <c r="F25" s="184"/>
      <c r="G25" s="185"/>
      <c r="H25" s="185"/>
      <c r="I25" s="185"/>
      <c r="J25" s="185"/>
      <c r="K25" s="185"/>
      <c r="L25" s="185"/>
      <c r="M25" s="184"/>
      <c r="N25" s="185"/>
      <c r="O25" s="185"/>
      <c r="P25" s="185"/>
      <c r="Q25" s="185"/>
      <c r="R25" s="185"/>
      <c r="S25" s="185"/>
    </row>
  </sheetData>
  <sheetProtection/>
  <mergeCells count="14">
    <mergeCell ref="I10:J10"/>
    <mergeCell ref="D9:E9"/>
    <mergeCell ref="M9:S9"/>
    <mergeCell ref="P10:Q10"/>
    <mergeCell ref="V2:X2"/>
    <mergeCell ref="T2:U2"/>
    <mergeCell ref="B3:F3"/>
    <mergeCell ref="S8:T8"/>
    <mergeCell ref="V1:X1"/>
    <mergeCell ref="T1:U1"/>
    <mergeCell ref="Q2:S2"/>
    <mergeCell ref="F9:L9"/>
    <mergeCell ref="B4:L4"/>
    <mergeCell ref="B6:L6"/>
  </mergeCells>
  <printOptions/>
  <pageMargins left="0.33" right="0.24" top="0.29" bottom="0.25" header="0.22" footer="0.17"/>
  <pageSetup horizontalDpi="600" verticalDpi="6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23"/>
  <sheetViews>
    <sheetView zoomScalePageLayoutView="0" workbookViewId="0" topLeftCell="A10">
      <selection activeCell="B3" sqref="B3"/>
    </sheetView>
  </sheetViews>
  <sheetFormatPr defaultColWidth="9.140625" defaultRowHeight="12.75"/>
  <cols>
    <col min="1" max="1" width="4.8515625" style="5" customWidth="1"/>
    <col min="2" max="2" width="32.7109375" style="5" customWidth="1"/>
    <col min="3" max="3" width="10.140625" style="5" customWidth="1"/>
    <col min="4" max="4" width="11.421875" style="5" customWidth="1"/>
    <col min="5" max="5" width="9.140625" style="5" customWidth="1"/>
    <col min="6" max="6" width="12.57421875" style="5" customWidth="1"/>
    <col min="7" max="7" width="18.00390625" style="5" customWidth="1"/>
    <col min="8" max="8" width="8.7109375" style="5" customWidth="1"/>
    <col min="9" max="9" width="9.140625" style="5" customWidth="1"/>
    <col min="10" max="10" width="11.00390625" style="5" customWidth="1"/>
    <col min="11" max="11" width="8.7109375" style="5" customWidth="1"/>
    <col min="12" max="12" width="9.140625" style="5" customWidth="1"/>
    <col min="13" max="13" width="11.00390625" style="5" customWidth="1"/>
    <col min="14" max="16384" width="9.140625" style="5" customWidth="1"/>
  </cols>
  <sheetData>
    <row r="1" spans="1:16" ht="13.5">
      <c r="A1" s="483"/>
      <c r="B1" s="471"/>
      <c r="C1" s="471"/>
      <c r="D1" s="484"/>
      <c r="E1" s="471"/>
      <c r="F1" s="485"/>
      <c r="G1" s="485"/>
      <c r="H1" s="32"/>
      <c r="I1" s="137" t="s">
        <v>170</v>
      </c>
      <c r="J1" s="3"/>
      <c r="K1" s="137"/>
      <c r="L1" s="137"/>
      <c r="M1" s="32"/>
      <c r="N1" s="4"/>
      <c r="O1" s="4"/>
      <c r="P1" s="4"/>
    </row>
    <row r="2" spans="1:16" ht="12.75" customHeight="1">
      <c r="A2" s="483"/>
      <c r="B2" s="471"/>
      <c r="C2" s="471"/>
      <c r="D2" s="484"/>
      <c r="E2" s="471"/>
      <c r="F2" s="485"/>
      <c r="G2" s="485"/>
      <c r="H2" s="902" t="s">
        <v>27</v>
      </c>
      <c r="I2" s="902"/>
      <c r="J2" s="902"/>
      <c r="K2" s="137"/>
      <c r="L2" s="137"/>
      <c r="M2" s="137"/>
      <c r="N2" s="4"/>
      <c r="O2" s="4"/>
      <c r="P2" s="4"/>
    </row>
    <row r="3" spans="1:13" ht="14.25" thickBot="1">
      <c r="A3" s="32"/>
      <c r="B3" s="486" t="s">
        <v>1145</v>
      </c>
      <c r="C3" s="487"/>
      <c r="D3" s="487"/>
      <c r="E3" s="328"/>
      <c r="F3" s="488"/>
      <c r="G3" s="489"/>
      <c r="H3" s="33"/>
      <c r="I3" s="33"/>
      <c r="J3" s="33"/>
      <c r="K3" s="33"/>
      <c r="L3" s="33"/>
      <c r="M3" s="33"/>
    </row>
    <row r="4" spans="1:13" s="191" customFormat="1" ht="17.25" customHeight="1">
      <c r="A4" s="32"/>
      <c r="B4" s="490" t="s">
        <v>28</v>
      </c>
      <c r="C4" s="490"/>
      <c r="D4" s="490"/>
      <c r="E4" s="491"/>
      <c r="F4" s="491"/>
      <c r="G4" s="43"/>
      <c r="H4" s="190"/>
      <c r="I4" s="190"/>
      <c r="J4" s="190"/>
      <c r="K4" s="190"/>
      <c r="L4" s="190"/>
      <c r="M4" s="190"/>
    </row>
    <row r="5" spans="1:13" s="193" customFormat="1" ht="26.25" customHeight="1">
      <c r="A5" s="151" t="s">
        <v>171</v>
      </c>
      <c r="B5" s="151"/>
      <c r="C5" s="151"/>
      <c r="D5" s="151"/>
      <c r="E5" s="151"/>
      <c r="F5" s="151"/>
      <c r="G5" s="151"/>
      <c r="H5" s="494"/>
      <c r="I5" s="494"/>
      <c r="J5" s="494"/>
      <c r="K5" s="494"/>
      <c r="L5" s="494"/>
      <c r="M5" s="494"/>
    </row>
    <row r="6" spans="1:13" s="193" customFormat="1" ht="14.25">
      <c r="A6" s="151" t="s">
        <v>333</v>
      </c>
      <c r="B6" s="151"/>
      <c r="C6" s="151"/>
      <c r="D6" s="151"/>
      <c r="E6" s="151"/>
      <c r="F6" s="151"/>
      <c r="G6" s="151"/>
      <c r="H6" s="494"/>
      <c r="I6" s="494"/>
      <c r="J6" s="494"/>
      <c r="K6" s="494"/>
      <c r="L6" s="494"/>
      <c r="M6" s="494"/>
    </row>
    <row r="7" spans="1:13" s="33" customFormat="1" ht="21" customHeight="1">
      <c r="A7" s="151"/>
      <c r="B7" s="151" t="s">
        <v>379</v>
      </c>
      <c r="C7" s="151"/>
      <c r="D7" s="151"/>
      <c r="E7" s="151"/>
      <c r="F7" s="151"/>
      <c r="G7" s="151"/>
      <c r="H7" s="494"/>
      <c r="I7" s="494"/>
      <c r="J7" s="494"/>
      <c r="K7" s="494"/>
      <c r="L7" s="494"/>
      <c r="M7" s="494"/>
    </row>
    <row r="8" spans="1:13" s="33" customFormat="1" ht="26.25" customHeight="1" thickBot="1">
      <c r="A8" s="151"/>
      <c r="B8" s="495" t="s">
        <v>380</v>
      </c>
      <c r="C8" s="151"/>
      <c r="D8" s="151"/>
      <c r="E8" s="151"/>
      <c r="F8" s="151"/>
      <c r="G8" s="151"/>
      <c r="H8" s="494"/>
      <c r="I8" s="494"/>
      <c r="J8" s="494"/>
      <c r="K8" s="494"/>
      <c r="L8" s="494"/>
      <c r="M8" s="494"/>
    </row>
    <row r="9" spans="1:13" s="107" customFormat="1" ht="27" customHeight="1" thickBot="1">
      <c r="A9" s="197"/>
      <c r="B9" s="198"/>
      <c r="C9" s="524" t="s">
        <v>381</v>
      </c>
      <c r="D9" s="492"/>
      <c r="E9" s="492"/>
      <c r="F9" s="492"/>
      <c r="G9" s="493"/>
      <c r="H9" s="939" t="s">
        <v>516</v>
      </c>
      <c r="I9" s="940"/>
      <c r="J9" s="941"/>
      <c r="K9" s="939" t="s">
        <v>507</v>
      </c>
      <c r="L9" s="940"/>
      <c r="M9" s="941"/>
    </row>
    <row r="10" spans="1:13" s="203" customFormat="1" ht="84" thickBot="1">
      <c r="A10" s="199" t="s">
        <v>111</v>
      </c>
      <c r="B10" s="199" t="s">
        <v>185</v>
      </c>
      <c r="C10" s="200" t="s">
        <v>186</v>
      </c>
      <c r="D10" s="201" t="s">
        <v>187</v>
      </c>
      <c r="E10" s="201" t="s">
        <v>557</v>
      </c>
      <c r="F10" s="201" t="s">
        <v>188</v>
      </c>
      <c r="G10" s="201" t="s">
        <v>282</v>
      </c>
      <c r="H10" s="201" t="s">
        <v>189</v>
      </c>
      <c r="I10" s="201" t="s">
        <v>190</v>
      </c>
      <c r="J10" s="202" t="s">
        <v>191</v>
      </c>
      <c r="K10" s="201" t="s">
        <v>189</v>
      </c>
      <c r="L10" s="201" t="s">
        <v>190</v>
      </c>
      <c r="M10" s="202" t="s">
        <v>191</v>
      </c>
    </row>
    <row r="11" spans="1:13" s="205" customFormat="1" ht="13.5">
      <c r="A11" s="204">
        <v>1</v>
      </c>
      <c r="B11" s="204">
        <v>2</v>
      </c>
      <c r="C11" s="204">
        <v>3</v>
      </c>
      <c r="D11" s="204">
        <v>4</v>
      </c>
      <c r="E11" s="204">
        <v>5</v>
      </c>
      <c r="F11" s="204">
        <v>6</v>
      </c>
      <c r="G11" s="204">
        <v>7</v>
      </c>
      <c r="H11" s="204">
        <v>8</v>
      </c>
      <c r="I11" s="204">
        <v>9</v>
      </c>
      <c r="J11" s="204">
        <v>10</v>
      </c>
      <c r="K11" s="204">
        <v>11</v>
      </c>
      <c r="L11" s="204">
        <v>12</v>
      </c>
      <c r="M11" s="204">
        <v>13</v>
      </c>
    </row>
    <row r="12" spans="1:13" ht="29.25">
      <c r="A12" s="142"/>
      <c r="B12" s="206" t="s">
        <v>192</v>
      </c>
      <c r="C12" s="144" t="s">
        <v>1</v>
      </c>
      <c r="D12" s="144" t="s">
        <v>1</v>
      </c>
      <c r="E12" s="496">
        <v>2023</v>
      </c>
      <c r="F12" s="549">
        <v>0.12</v>
      </c>
      <c r="G12" s="144" t="s">
        <v>1</v>
      </c>
      <c r="H12" s="144" t="s">
        <v>1</v>
      </c>
      <c r="I12" s="144" t="s">
        <v>1</v>
      </c>
      <c r="J12" s="144" t="s">
        <v>1</v>
      </c>
      <c r="K12" s="144" t="s">
        <v>1</v>
      </c>
      <c r="L12" s="144" t="s">
        <v>1</v>
      </c>
      <c r="M12" s="144" t="s">
        <v>1</v>
      </c>
    </row>
    <row r="13" spans="1:13" ht="13.5" customHeight="1">
      <c r="A13" s="142"/>
      <c r="B13" s="207" t="s">
        <v>193</v>
      </c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</row>
    <row r="14" spans="1:13" ht="13.5">
      <c r="A14" s="72">
        <v>1</v>
      </c>
      <c r="B14" s="751" t="s">
        <v>664</v>
      </c>
      <c r="C14" s="109">
        <v>2015</v>
      </c>
      <c r="D14" s="109">
        <v>15000</v>
      </c>
      <c r="E14" s="109">
        <f>IF(($E$12-C14)*12&gt;100,100,($E$12-C14)*12)</f>
        <v>96</v>
      </c>
      <c r="F14" s="76">
        <f aca="true" t="shared" si="0" ref="F14:F20">IF(E14=100,0,D14-D14*E14%)</f>
        <v>600</v>
      </c>
      <c r="G14" s="754" t="s">
        <v>587</v>
      </c>
      <c r="H14" s="109"/>
      <c r="I14" s="109"/>
      <c r="J14" s="76">
        <f>H14*I14</f>
        <v>0</v>
      </c>
      <c r="K14" s="109"/>
      <c r="L14" s="109"/>
      <c r="M14" s="76">
        <f>K14*L14</f>
        <v>0</v>
      </c>
    </row>
    <row r="15" spans="1:13" ht="13.5">
      <c r="A15" s="72">
        <v>2</v>
      </c>
      <c r="B15" s="751" t="s">
        <v>665</v>
      </c>
      <c r="C15" s="752">
        <v>2015</v>
      </c>
      <c r="D15" s="753">
        <v>8500</v>
      </c>
      <c r="E15" s="109">
        <f aca="true" t="shared" si="1" ref="E15:E20">IF(($E$12-C15)*12&gt;100,100,($E$12-C15)*12)</f>
        <v>96</v>
      </c>
      <c r="F15" s="76">
        <f t="shared" si="0"/>
        <v>340</v>
      </c>
      <c r="G15" s="754" t="s">
        <v>669</v>
      </c>
      <c r="H15" s="109"/>
      <c r="I15" s="109"/>
      <c r="J15" s="76">
        <f aca="true" t="shared" si="2" ref="J15:J20">H15*I15</f>
        <v>0</v>
      </c>
      <c r="K15" s="109"/>
      <c r="L15" s="109"/>
      <c r="M15" s="76">
        <f aca="true" t="shared" si="3" ref="M15:M20">K15*L15</f>
        <v>0</v>
      </c>
    </row>
    <row r="16" spans="1:13" ht="13.5">
      <c r="A16" s="72">
        <v>3</v>
      </c>
      <c r="B16" s="751" t="s">
        <v>666</v>
      </c>
      <c r="C16" s="752">
        <v>2013</v>
      </c>
      <c r="D16" s="753">
        <v>13000</v>
      </c>
      <c r="E16" s="109">
        <f t="shared" si="1"/>
        <v>100</v>
      </c>
      <c r="F16" s="76">
        <f t="shared" si="0"/>
        <v>0</v>
      </c>
      <c r="G16" s="754" t="s">
        <v>669</v>
      </c>
      <c r="H16" s="109"/>
      <c r="I16" s="109"/>
      <c r="J16" s="76">
        <f t="shared" si="2"/>
        <v>0</v>
      </c>
      <c r="K16" s="109"/>
      <c r="L16" s="109"/>
      <c r="M16" s="76">
        <f t="shared" si="3"/>
        <v>0</v>
      </c>
    </row>
    <row r="17" spans="1:13" ht="13.5">
      <c r="A17" s="142">
        <v>4</v>
      </c>
      <c r="B17" s="751" t="s">
        <v>667</v>
      </c>
      <c r="C17" s="752">
        <v>2006</v>
      </c>
      <c r="D17" s="753">
        <v>9000</v>
      </c>
      <c r="E17" s="109">
        <f t="shared" si="1"/>
        <v>100</v>
      </c>
      <c r="F17" s="76">
        <f t="shared" si="0"/>
        <v>0</v>
      </c>
      <c r="G17" s="754" t="s">
        <v>669</v>
      </c>
      <c r="H17" s="109"/>
      <c r="I17" s="109"/>
      <c r="J17" s="76">
        <f t="shared" si="2"/>
        <v>0</v>
      </c>
      <c r="K17" s="109"/>
      <c r="L17" s="109"/>
      <c r="M17" s="76">
        <f t="shared" si="3"/>
        <v>0</v>
      </c>
    </row>
    <row r="18" spans="1:13" ht="94.5">
      <c r="A18" s="142">
        <v>5</v>
      </c>
      <c r="B18" s="751" t="s">
        <v>668</v>
      </c>
      <c r="C18" s="752">
        <v>2002</v>
      </c>
      <c r="D18" s="753">
        <v>3768.6</v>
      </c>
      <c r="E18" s="109">
        <f t="shared" si="1"/>
        <v>100</v>
      </c>
      <c r="F18" s="76">
        <f t="shared" si="0"/>
        <v>0</v>
      </c>
      <c r="G18" s="755" t="s">
        <v>670</v>
      </c>
      <c r="H18" s="109"/>
      <c r="I18" s="109"/>
      <c r="J18" s="76">
        <f t="shared" si="2"/>
        <v>0</v>
      </c>
      <c r="K18" s="109"/>
      <c r="L18" s="109"/>
      <c r="M18" s="76">
        <f t="shared" si="3"/>
        <v>0</v>
      </c>
    </row>
    <row r="19" spans="1:13" ht="13.5">
      <c r="A19" s="142">
        <v>6</v>
      </c>
      <c r="B19" s="109"/>
      <c r="C19" s="109"/>
      <c r="D19" s="109"/>
      <c r="E19" s="109">
        <f t="shared" si="1"/>
        <v>100</v>
      </c>
      <c r="F19" s="76">
        <f t="shared" si="0"/>
        <v>0</v>
      </c>
      <c r="G19" s="109"/>
      <c r="H19" s="109"/>
      <c r="I19" s="109"/>
      <c r="J19" s="76">
        <f t="shared" si="2"/>
        <v>0</v>
      </c>
      <c r="K19" s="109"/>
      <c r="L19" s="109"/>
      <c r="M19" s="76">
        <f t="shared" si="3"/>
        <v>0</v>
      </c>
    </row>
    <row r="20" spans="1:13" ht="13.5">
      <c r="A20" s="142">
        <v>7</v>
      </c>
      <c r="B20" s="109"/>
      <c r="C20" s="109"/>
      <c r="D20" s="109"/>
      <c r="E20" s="109">
        <f t="shared" si="1"/>
        <v>100</v>
      </c>
      <c r="F20" s="76">
        <f t="shared" si="0"/>
        <v>0</v>
      </c>
      <c r="G20" s="109"/>
      <c r="H20" s="109"/>
      <c r="I20" s="109"/>
      <c r="J20" s="76">
        <f t="shared" si="2"/>
        <v>0</v>
      </c>
      <c r="K20" s="109"/>
      <c r="L20" s="109"/>
      <c r="M20" s="76">
        <f t="shared" si="3"/>
        <v>0</v>
      </c>
    </row>
    <row r="23" spans="1:2" ht="14.25">
      <c r="A23" s="690" t="s">
        <v>6</v>
      </c>
      <c r="B23" s="691" t="s">
        <v>558</v>
      </c>
    </row>
  </sheetData>
  <sheetProtection/>
  <mergeCells count="3">
    <mergeCell ref="H9:J9"/>
    <mergeCell ref="K9:M9"/>
    <mergeCell ref="H2:J2"/>
  </mergeCells>
  <printOptions/>
  <pageMargins left="0.41" right="0.18" top="0.48" bottom="0.27" header="0.17" footer="0.19"/>
  <pageSetup horizontalDpi="600" verticalDpi="600" orientation="landscape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R483"/>
  <sheetViews>
    <sheetView zoomScalePageLayoutView="0" workbookViewId="0" topLeftCell="A439">
      <selection activeCell="G462" sqref="G462"/>
    </sheetView>
  </sheetViews>
  <sheetFormatPr defaultColWidth="9.140625" defaultRowHeight="12.75"/>
  <cols>
    <col min="1" max="3" width="9.140625" style="5" customWidth="1"/>
    <col min="4" max="4" width="59.57421875" style="5" customWidth="1"/>
    <col min="5" max="5" width="19.140625" style="5" customWidth="1"/>
    <col min="6" max="6" width="9.28125" style="21" customWidth="1"/>
    <col min="7" max="7" width="8.57421875" style="4" bestFit="1" customWidth="1"/>
    <col min="8" max="8" width="11.140625" style="4" customWidth="1"/>
    <col min="9" max="9" width="12.421875" style="4" bestFit="1" customWidth="1"/>
    <col min="10" max="10" width="11.140625" style="5" customWidth="1"/>
    <col min="11" max="11" width="14.8515625" style="5" customWidth="1"/>
    <col min="12" max="12" width="9.57421875" style="21" customWidth="1"/>
    <col min="13" max="13" width="11.8515625" style="5" customWidth="1"/>
    <col min="14" max="14" width="11.00390625" style="5" customWidth="1"/>
    <col min="15" max="15" width="9.57421875" style="5" customWidth="1"/>
    <col min="16" max="16" width="11.8515625" style="5" customWidth="1"/>
    <col min="17" max="17" width="11.00390625" style="5" customWidth="1"/>
    <col min="18" max="16384" width="9.140625" style="5" customWidth="1"/>
  </cols>
  <sheetData>
    <row r="1" spans="1:252" ht="13.5">
      <c r="A1" s="33"/>
      <c r="B1" s="33"/>
      <c r="C1" s="340"/>
      <c r="D1" s="3"/>
      <c r="E1" s="3"/>
      <c r="F1" s="758"/>
      <c r="G1" s="817"/>
      <c r="H1" s="817"/>
      <c r="I1" s="137"/>
      <c r="J1" s="32"/>
      <c r="K1" s="137" t="s">
        <v>184</v>
      </c>
      <c r="L1" s="758"/>
      <c r="M1" s="32"/>
      <c r="N1" s="32"/>
      <c r="O1" s="32"/>
      <c r="P1" s="32"/>
      <c r="Q1" s="32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  <c r="GL1" s="33"/>
      <c r="GM1" s="33"/>
      <c r="GN1" s="33"/>
      <c r="GO1" s="33"/>
      <c r="GP1" s="33"/>
      <c r="GQ1" s="33"/>
      <c r="GR1" s="33"/>
      <c r="GS1" s="33"/>
      <c r="GT1" s="33"/>
      <c r="GU1" s="33"/>
      <c r="GV1" s="33"/>
      <c r="GW1" s="33"/>
      <c r="GX1" s="33"/>
      <c r="GY1" s="33"/>
      <c r="GZ1" s="33"/>
      <c r="HA1" s="33"/>
      <c r="HB1" s="33"/>
      <c r="HC1" s="33"/>
      <c r="HD1" s="33"/>
      <c r="HE1" s="33"/>
      <c r="HF1" s="33"/>
      <c r="HG1" s="33"/>
      <c r="HH1" s="33"/>
      <c r="HI1" s="33"/>
      <c r="HJ1" s="33"/>
      <c r="HK1" s="33"/>
      <c r="HL1" s="33"/>
      <c r="HM1" s="33"/>
      <c r="HN1" s="33"/>
      <c r="HO1" s="33"/>
      <c r="HP1" s="33"/>
      <c r="HQ1" s="33"/>
      <c r="HR1" s="33"/>
      <c r="HS1" s="33"/>
      <c r="HT1" s="33"/>
      <c r="HU1" s="33"/>
      <c r="HV1" s="33"/>
      <c r="HW1" s="33"/>
      <c r="HX1" s="33"/>
      <c r="HY1" s="33"/>
      <c r="HZ1" s="33"/>
      <c r="IA1" s="33"/>
      <c r="IB1" s="33"/>
      <c r="IC1" s="33"/>
      <c r="ID1" s="33"/>
      <c r="IE1" s="33"/>
      <c r="IF1" s="33"/>
      <c r="IG1" s="33"/>
      <c r="IH1" s="33"/>
      <c r="II1" s="33"/>
      <c r="IJ1" s="33"/>
      <c r="IK1" s="33"/>
      <c r="IL1" s="33"/>
      <c r="IM1" s="33"/>
      <c r="IN1" s="33"/>
      <c r="IO1" s="33"/>
      <c r="IP1" s="33"/>
      <c r="IQ1" s="33"/>
      <c r="IR1" s="33"/>
    </row>
    <row r="2" spans="1:252" ht="13.5">
      <c r="A2" s="33"/>
      <c r="B2" s="33"/>
      <c r="C2" s="340"/>
      <c r="D2" s="3"/>
      <c r="E2" s="3"/>
      <c r="F2" s="758"/>
      <c r="G2" s="817"/>
      <c r="H2" s="817"/>
      <c r="I2" s="137"/>
      <c r="J2" s="902" t="s">
        <v>27</v>
      </c>
      <c r="K2" s="902"/>
      <c r="L2" s="902"/>
      <c r="M2" s="32"/>
      <c r="N2" s="32"/>
      <c r="O2" s="32"/>
      <c r="P2" s="32"/>
      <c r="Q2" s="32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33"/>
      <c r="DJ2" s="33"/>
      <c r="DK2" s="33"/>
      <c r="DL2" s="33"/>
      <c r="DM2" s="33"/>
      <c r="DN2" s="33"/>
      <c r="DO2" s="33"/>
      <c r="DP2" s="33"/>
      <c r="DQ2" s="33"/>
      <c r="DR2" s="33"/>
      <c r="DS2" s="33"/>
      <c r="DT2" s="33"/>
      <c r="DU2" s="33"/>
      <c r="DV2" s="33"/>
      <c r="DW2" s="33"/>
      <c r="DX2" s="33"/>
      <c r="DY2" s="33"/>
      <c r="DZ2" s="33"/>
      <c r="EA2" s="33"/>
      <c r="EB2" s="33"/>
      <c r="EC2" s="33"/>
      <c r="ED2" s="33"/>
      <c r="EE2" s="33"/>
      <c r="EF2" s="33"/>
      <c r="EG2" s="33"/>
      <c r="EH2" s="33"/>
      <c r="EI2" s="33"/>
      <c r="EJ2" s="33"/>
      <c r="EK2" s="33"/>
      <c r="EL2" s="33"/>
      <c r="EM2" s="33"/>
      <c r="EN2" s="33"/>
      <c r="EO2" s="33"/>
      <c r="EP2" s="33"/>
      <c r="EQ2" s="33"/>
      <c r="ER2" s="33"/>
      <c r="ES2" s="33"/>
      <c r="ET2" s="33"/>
      <c r="EU2" s="33"/>
      <c r="EV2" s="33"/>
      <c r="EW2" s="33"/>
      <c r="EX2" s="33"/>
      <c r="EY2" s="33"/>
      <c r="EZ2" s="33"/>
      <c r="FA2" s="33"/>
      <c r="FB2" s="33"/>
      <c r="FC2" s="33"/>
      <c r="FD2" s="33"/>
      <c r="FE2" s="33"/>
      <c r="FF2" s="33"/>
      <c r="FG2" s="33"/>
      <c r="FH2" s="33"/>
      <c r="FI2" s="33"/>
      <c r="FJ2" s="33"/>
      <c r="FK2" s="33"/>
      <c r="FL2" s="33"/>
      <c r="FM2" s="33"/>
      <c r="FN2" s="33"/>
      <c r="FO2" s="33"/>
      <c r="FP2" s="33"/>
      <c r="FQ2" s="33"/>
      <c r="FR2" s="33"/>
      <c r="FS2" s="33"/>
      <c r="FT2" s="33"/>
      <c r="FU2" s="33"/>
      <c r="FV2" s="33"/>
      <c r="FW2" s="33"/>
      <c r="FX2" s="33"/>
      <c r="FY2" s="33"/>
      <c r="FZ2" s="33"/>
      <c r="GA2" s="33"/>
      <c r="GB2" s="33"/>
      <c r="GC2" s="33"/>
      <c r="GD2" s="33"/>
      <c r="GE2" s="33"/>
      <c r="GF2" s="33"/>
      <c r="GG2" s="33"/>
      <c r="GH2" s="33"/>
      <c r="GI2" s="33"/>
      <c r="GJ2" s="33"/>
      <c r="GK2" s="33"/>
      <c r="GL2" s="33"/>
      <c r="GM2" s="33"/>
      <c r="GN2" s="33"/>
      <c r="GO2" s="33"/>
      <c r="GP2" s="33"/>
      <c r="GQ2" s="33"/>
      <c r="GR2" s="33"/>
      <c r="GS2" s="33"/>
      <c r="GT2" s="33"/>
      <c r="GU2" s="33"/>
      <c r="GV2" s="33"/>
      <c r="GW2" s="33"/>
      <c r="GX2" s="33"/>
      <c r="GY2" s="33"/>
      <c r="GZ2" s="33"/>
      <c r="HA2" s="33"/>
      <c r="HB2" s="33"/>
      <c r="HC2" s="33"/>
      <c r="HD2" s="33"/>
      <c r="HE2" s="33"/>
      <c r="HF2" s="33"/>
      <c r="HG2" s="33"/>
      <c r="HH2" s="33"/>
      <c r="HI2" s="33"/>
      <c r="HJ2" s="33"/>
      <c r="HK2" s="33"/>
      <c r="HL2" s="33"/>
      <c r="HM2" s="33"/>
      <c r="HN2" s="33"/>
      <c r="HO2" s="33"/>
      <c r="HP2" s="33"/>
      <c r="HQ2" s="33"/>
      <c r="HR2" s="33"/>
      <c r="HS2" s="33"/>
      <c r="HT2" s="33"/>
      <c r="HU2" s="33"/>
      <c r="HV2" s="33"/>
      <c r="HW2" s="33"/>
      <c r="HX2" s="33"/>
      <c r="HY2" s="33"/>
      <c r="HZ2" s="33"/>
      <c r="IA2" s="33"/>
      <c r="IB2" s="33"/>
      <c r="IC2" s="33"/>
      <c r="ID2" s="33"/>
      <c r="IE2" s="33"/>
      <c r="IF2" s="33"/>
      <c r="IG2" s="33"/>
      <c r="IH2" s="33"/>
      <c r="II2" s="33"/>
      <c r="IJ2" s="33"/>
      <c r="IK2" s="33"/>
      <c r="IL2" s="33"/>
      <c r="IM2" s="33"/>
      <c r="IN2" s="33"/>
      <c r="IO2" s="33"/>
      <c r="IP2" s="33"/>
      <c r="IQ2" s="33"/>
      <c r="IR2" s="33"/>
    </row>
    <row r="3" spans="1:252" ht="14.25" thickBot="1">
      <c r="A3" s="33"/>
      <c r="B3" s="33"/>
      <c r="C3" s="32"/>
      <c r="D3" s="685" t="s">
        <v>1145</v>
      </c>
      <c r="E3" s="24"/>
      <c r="F3" s="425"/>
      <c r="G3" s="750"/>
      <c r="H3" s="750"/>
      <c r="I3" s="10"/>
      <c r="J3" s="33"/>
      <c r="K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/>
      <c r="EQ3" s="33"/>
      <c r="ER3" s="33"/>
      <c r="ES3" s="33"/>
      <c r="ET3" s="33"/>
      <c r="EU3" s="33"/>
      <c r="EV3" s="33"/>
      <c r="EW3" s="33"/>
      <c r="EX3" s="33"/>
      <c r="EY3" s="33"/>
      <c r="EZ3" s="33"/>
      <c r="FA3" s="33"/>
      <c r="FB3" s="33"/>
      <c r="FC3" s="33"/>
      <c r="FD3" s="33"/>
      <c r="FE3" s="33"/>
      <c r="FF3" s="33"/>
      <c r="FG3" s="33"/>
      <c r="FH3" s="33"/>
      <c r="FI3" s="33"/>
      <c r="FJ3" s="33"/>
      <c r="FK3" s="33"/>
      <c r="FL3" s="33"/>
      <c r="FM3" s="33"/>
      <c r="FN3" s="33"/>
      <c r="FO3" s="33"/>
      <c r="FP3" s="33"/>
      <c r="FQ3" s="33"/>
      <c r="FR3" s="33"/>
      <c r="FS3" s="33"/>
      <c r="FT3" s="33"/>
      <c r="FU3" s="33"/>
      <c r="FV3" s="33"/>
      <c r="FW3" s="33"/>
      <c r="FX3" s="33"/>
      <c r="FY3" s="33"/>
      <c r="FZ3" s="33"/>
      <c r="GA3" s="33"/>
      <c r="GB3" s="33"/>
      <c r="GC3" s="33"/>
      <c r="GD3" s="33"/>
      <c r="GE3" s="33"/>
      <c r="GF3" s="33"/>
      <c r="GG3" s="33"/>
      <c r="GH3" s="33"/>
      <c r="GI3" s="33"/>
      <c r="GJ3" s="33"/>
      <c r="GK3" s="33"/>
      <c r="GL3" s="33"/>
      <c r="GM3" s="33"/>
      <c r="GN3" s="33"/>
      <c r="GO3" s="33"/>
      <c r="GP3" s="33"/>
      <c r="GQ3" s="33"/>
      <c r="GR3" s="33"/>
      <c r="GS3" s="33"/>
      <c r="GT3" s="33"/>
      <c r="GU3" s="33"/>
      <c r="GV3" s="33"/>
      <c r="GW3" s="33"/>
      <c r="GX3" s="33"/>
      <c r="GY3" s="33"/>
      <c r="GZ3" s="33"/>
      <c r="HA3" s="33"/>
      <c r="HB3" s="33"/>
      <c r="HC3" s="33"/>
      <c r="HD3" s="33"/>
      <c r="HE3" s="33"/>
      <c r="HF3" s="33"/>
      <c r="HG3" s="33"/>
      <c r="HH3" s="33"/>
      <c r="HI3" s="33"/>
      <c r="HJ3" s="33"/>
      <c r="HK3" s="33"/>
      <c r="HL3" s="33"/>
      <c r="HM3" s="33"/>
      <c r="HN3" s="33"/>
      <c r="HO3" s="33"/>
      <c r="HP3" s="33"/>
      <c r="HQ3" s="33"/>
      <c r="HR3" s="33"/>
      <c r="HS3" s="33"/>
      <c r="HT3" s="33"/>
      <c r="HU3" s="33"/>
      <c r="HV3" s="33"/>
      <c r="HW3" s="33"/>
      <c r="HX3" s="33"/>
      <c r="HY3" s="33"/>
      <c r="HZ3" s="33"/>
      <c r="IA3" s="33"/>
      <c r="IB3" s="33"/>
      <c r="IC3" s="33"/>
      <c r="ID3" s="33"/>
      <c r="IE3" s="33"/>
      <c r="IF3" s="33"/>
      <c r="IG3" s="33"/>
      <c r="IH3" s="33"/>
      <c r="II3" s="33"/>
      <c r="IJ3" s="33"/>
      <c r="IK3" s="33"/>
      <c r="IL3" s="33"/>
      <c r="IM3" s="33"/>
      <c r="IN3" s="33"/>
      <c r="IO3" s="33"/>
      <c r="IP3" s="33"/>
      <c r="IQ3" s="33"/>
      <c r="IR3" s="33"/>
    </row>
    <row r="4" spans="1:252" ht="13.5">
      <c r="A4" s="191"/>
      <c r="B4" s="191"/>
      <c r="C4" s="32"/>
      <c r="D4" s="884" t="s">
        <v>28</v>
      </c>
      <c r="E4" s="884"/>
      <c r="F4" s="884"/>
      <c r="G4" s="884"/>
      <c r="H4" s="884"/>
      <c r="I4" s="328"/>
      <c r="J4" s="43"/>
      <c r="K4" s="190"/>
      <c r="L4" s="317"/>
      <c r="M4" s="190"/>
      <c r="N4" s="190"/>
      <c r="O4" s="190"/>
      <c r="P4" s="190"/>
      <c r="Q4" s="191"/>
      <c r="R4" s="191"/>
      <c r="S4" s="191"/>
      <c r="T4" s="191"/>
      <c r="U4" s="191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  <c r="AM4" s="191"/>
      <c r="AN4" s="191"/>
      <c r="AO4" s="191"/>
      <c r="AP4" s="191"/>
      <c r="AQ4" s="191"/>
      <c r="AR4" s="191"/>
      <c r="AS4" s="191"/>
      <c r="AT4" s="191"/>
      <c r="AU4" s="191"/>
      <c r="AV4" s="191"/>
      <c r="AW4" s="191"/>
      <c r="AX4" s="191"/>
      <c r="AY4" s="191"/>
      <c r="AZ4" s="191"/>
      <c r="BA4" s="191"/>
      <c r="BB4" s="191"/>
      <c r="BC4" s="191"/>
      <c r="BD4" s="191"/>
      <c r="BE4" s="191"/>
      <c r="BF4" s="191"/>
      <c r="BG4" s="191"/>
      <c r="BH4" s="191"/>
      <c r="BI4" s="191"/>
      <c r="BJ4" s="191"/>
      <c r="BK4" s="191"/>
      <c r="BL4" s="191"/>
      <c r="BM4" s="191"/>
      <c r="BN4" s="191"/>
      <c r="BO4" s="191"/>
      <c r="BP4" s="191"/>
      <c r="BQ4" s="191"/>
      <c r="BR4" s="191"/>
      <c r="BS4" s="191"/>
      <c r="BT4" s="191"/>
      <c r="BU4" s="191"/>
      <c r="BV4" s="191"/>
      <c r="BW4" s="191"/>
      <c r="BX4" s="191"/>
      <c r="BY4" s="191"/>
      <c r="BZ4" s="191"/>
      <c r="CA4" s="191"/>
      <c r="CB4" s="191"/>
      <c r="CC4" s="191"/>
      <c r="CD4" s="191"/>
      <c r="CE4" s="191"/>
      <c r="CF4" s="191"/>
      <c r="CG4" s="191"/>
      <c r="CH4" s="191"/>
      <c r="CI4" s="191"/>
      <c r="CJ4" s="191"/>
      <c r="CK4" s="191"/>
      <c r="CL4" s="191"/>
      <c r="CM4" s="191"/>
      <c r="CN4" s="191"/>
      <c r="CO4" s="191"/>
      <c r="CP4" s="191"/>
      <c r="CQ4" s="191"/>
      <c r="CR4" s="191"/>
      <c r="CS4" s="191"/>
      <c r="CT4" s="191"/>
      <c r="CU4" s="191"/>
      <c r="CV4" s="191"/>
      <c r="CW4" s="191"/>
      <c r="CX4" s="191"/>
      <c r="CY4" s="191"/>
      <c r="CZ4" s="191"/>
      <c r="DA4" s="191"/>
      <c r="DB4" s="191"/>
      <c r="DC4" s="191"/>
      <c r="DD4" s="191"/>
      <c r="DE4" s="191"/>
      <c r="DF4" s="191"/>
      <c r="DG4" s="191"/>
      <c r="DH4" s="191"/>
      <c r="DI4" s="191"/>
      <c r="DJ4" s="191"/>
      <c r="DK4" s="191"/>
      <c r="DL4" s="191"/>
      <c r="DM4" s="191"/>
      <c r="DN4" s="191"/>
      <c r="DO4" s="191"/>
      <c r="DP4" s="191"/>
      <c r="DQ4" s="191"/>
      <c r="DR4" s="191"/>
      <c r="DS4" s="191"/>
      <c r="DT4" s="191"/>
      <c r="DU4" s="191"/>
      <c r="DV4" s="191"/>
      <c r="DW4" s="191"/>
      <c r="DX4" s="191"/>
      <c r="DY4" s="191"/>
      <c r="DZ4" s="191"/>
      <c r="EA4" s="191"/>
      <c r="EB4" s="191"/>
      <c r="EC4" s="191"/>
      <c r="ED4" s="191"/>
      <c r="EE4" s="191"/>
      <c r="EF4" s="191"/>
      <c r="EG4" s="191"/>
      <c r="EH4" s="191"/>
      <c r="EI4" s="191"/>
      <c r="EJ4" s="191"/>
      <c r="EK4" s="191"/>
      <c r="EL4" s="191"/>
      <c r="EM4" s="191"/>
      <c r="EN4" s="191"/>
      <c r="EO4" s="191"/>
      <c r="EP4" s="191"/>
      <c r="EQ4" s="191"/>
      <c r="ER4" s="191"/>
      <c r="ES4" s="191"/>
      <c r="ET4" s="191"/>
      <c r="EU4" s="191"/>
      <c r="EV4" s="191"/>
      <c r="EW4" s="191"/>
      <c r="EX4" s="191"/>
      <c r="EY4" s="191"/>
      <c r="EZ4" s="191"/>
      <c r="FA4" s="191"/>
      <c r="FB4" s="191"/>
      <c r="FC4" s="191"/>
      <c r="FD4" s="191"/>
      <c r="FE4" s="191"/>
      <c r="FF4" s="191"/>
      <c r="FG4" s="191"/>
      <c r="FH4" s="191"/>
      <c r="FI4" s="191"/>
      <c r="FJ4" s="191"/>
      <c r="FK4" s="191"/>
      <c r="FL4" s="191"/>
      <c r="FM4" s="191"/>
      <c r="FN4" s="191"/>
      <c r="FO4" s="191"/>
      <c r="FP4" s="191"/>
      <c r="FQ4" s="191"/>
      <c r="FR4" s="191"/>
      <c r="FS4" s="191"/>
      <c r="FT4" s="191"/>
      <c r="FU4" s="191"/>
      <c r="FV4" s="191"/>
      <c r="FW4" s="191"/>
      <c r="FX4" s="191"/>
      <c r="FY4" s="191"/>
      <c r="FZ4" s="191"/>
      <c r="GA4" s="191"/>
      <c r="GB4" s="191"/>
      <c r="GC4" s="191"/>
      <c r="GD4" s="191"/>
      <c r="GE4" s="191"/>
      <c r="GF4" s="191"/>
      <c r="GG4" s="191"/>
      <c r="GH4" s="191"/>
      <c r="GI4" s="191"/>
      <c r="GJ4" s="191"/>
      <c r="GK4" s="191"/>
      <c r="GL4" s="191"/>
      <c r="GM4" s="191"/>
      <c r="GN4" s="191"/>
      <c r="GO4" s="191"/>
      <c r="GP4" s="191"/>
      <c r="GQ4" s="191"/>
      <c r="GR4" s="191"/>
      <c r="GS4" s="191"/>
      <c r="GT4" s="191"/>
      <c r="GU4" s="191"/>
      <c r="GV4" s="191"/>
      <c r="GW4" s="191"/>
      <c r="GX4" s="191"/>
      <c r="GY4" s="191"/>
      <c r="GZ4" s="191"/>
      <c r="HA4" s="191"/>
      <c r="HB4" s="191"/>
      <c r="HC4" s="191"/>
      <c r="HD4" s="191"/>
      <c r="HE4" s="191"/>
      <c r="HF4" s="191"/>
      <c r="HG4" s="191"/>
      <c r="HH4" s="191"/>
      <c r="HI4" s="191"/>
      <c r="HJ4" s="191"/>
      <c r="HK4" s="191"/>
      <c r="HL4" s="191"/>
      <c r="HM4" s="191"/>
      <c r="HN4" s="191"/>
      <c r="HO4" s="191"/>
      <c r="HP4" s="191"/>
      <c r="HQ4" s="191"/>
      <c r="HR4" s="191"/>
      <c r="HS4" s="191"/>
      <c r="HT4" s="191"/>
      <c r="HU4" s="191"/>
      <c r="HV4" s="191"/>
      <c r="HW4" s="191"/>
      <c r="HX4" s="191"/>
      <c r="HY4" s="191"/>
      <c r="HZ4" s="191"/>
      <c r="IA4" s="191"/>
      <c r="IB4" s="191"/>
      <c r="IC4" s="191"/>
      <c r="ID4" s="191"/>
      <c r="IE4" s="191"/>
      <c r="IF4" s="191"/>
      <c r="IG4" s="191"/>
      <c r="IH4" s="191"/>
      <c r="II4" s="191"/>
      <c r="IJ4" s="191"/>
      <c r="IK4" s="191"/>
      <c r="IL4" s="191"/>
      <c r="IM4" s="191"/>
      <c r="IN4" s="191"/>
      <c r="IO4" s="191"/>
      <c r="IP4" s="191"/>
      <c r="IQ4" s="191"/>
      <c r="IR4" s="191"/>
    </row>
    <row r="5" spans="1:252" ht="14.25">
      <c r="A5" s="194"/>
      <c r="B5" s="194"/>
      <c r="C5" s="928" t="s">
        <v>171</v>
      </c>
      <c r="D5" s="928"/>
      <c r="E5" s="928"/>
      <c r="F5" s="928"/>
      <c r="G5" s="928"/>
      <c r="H5" s="928"/>
      <c r="I5" s="928"/>
      <c r="J5" s="928"/>
      <c r="K5" s="928"/>
      <c r="L5" s="928"/>
      <c r="M5" s="928"/>
      <c r="N5" s="190"/>
      <c r="O5" s="194"/>
      <c r="P5" s="194"/>
      <c r="Q5" s="190"/>
      <c r="R5" s="194"/>
      <c r="S5" s="194"/>
      <c r="T5" s="194"/>
      <c r="U5" s="194"/>
      <c r="V5" s="194"/>
      <c r="W5" s="194"/>
      <c r="X5" s="194"/>
      <c r="Y5" s="194"/>
      <c r="Z5" s="194"/>
      <c r="AA5" s="194"/>
      <c r="AB5" s="194"/>
      <c r="AC5" s="194"/>
      <c r="AD5" s="194"/>
      <c r="AE5" s="194"/>
      <c r="AF5" s="194"/>
      <c r="AG5" s="194"/>
      <c r="AH5" s="194"/>
      <c r="AI5" s="194"/>
      <c r="AJ5" s="194"/>
      <c r="AK5" s="194"/>
      <c r="AL5" s="194"/>
      <c r="AM5" s="194"/>
      <c r="AN5" s="194"/>
      <c r="AO5" s="194"/>
      <c r="AP5" s="194"/>
      <c r="AQ5" s="194"/>
      <c r="AR5" s="194"/>
      <c r="AS5" s="194"/>
      <c r="AT5" s="194"/>
      <c r="AU5" s="194"/>
      <c r="AV5" s="194"/>
      <c r="AW5" s="194"/>
      <c r="AX5" s="194"/>
      <c r="AY5" s="194"/>
      <c r="AZ5" s="194"/>
      <c r="BA5" s="194"/>
      <c r="BB5" s="194"/>
      <c r="BC5" s="194"/>
      <c r="BD5" s="194"/>
      <c r="BE5" s="194"/>
      <c r="BF5" s="194"/>
      <c r="BG5" s="194"/>
      <c r="BH5" s="194"/>
      <c r="BI5" s="194"/>
      <c r="BJ5" s="194"/>
      <c r="BK5" s="194"/>
      <c r="BL5" s="194"/>
      <c r="BM5" s="194"/>
      <c r="BN5" s="194"/>
      <c r="BO5" s="194"/>
      <c r="BP5" s="194"/>
      <c r="BQ5" s="194"/>
      <c r="BR5" s="194"/>
      <c r="BS5" s="194"/>
      <c r="BT5" s="194"/>
      <c r="BU5" s="194"/>
      <c r="BV5" s="194"/>
      <c r="BW5" s="194"/>
      <c r="BX5" s="194"/>
      <c r="BY5" s="194"/>
      <c r="BZ5" s="194"/>
      <c r="CA5" s="194"/>
      <c r="CB5" s="194"/>
      <c r="CC5" s="194"/>
      <c r="CD5" s="194"/>
      <c r="CE5" s="194"/>
      <c r="CF5" s="194"/>
      <c r="CG5" s="194"/>
      <c r="CH5" s="194"/>
      <c r="CI5" s="194"/>
      <c r="CJ5" s="194"/>
      <c r="CK5" s="194"/>
      <c r="CL5" s="194"/>
      <c r="CM5" s="194"/>
      <c r="CN5" s="194"/>
      <c r="CO5" s="194"/>
      <c r="CP5" s="194"/>
      <c r="CQ5" s="194"/>
      <c r="CR5" s="194"/>
      <c r="CS5" s="194"/>
      <c r="CT5" s="194"/>
      <c r="CU5" s="194"/>
      <c r="CV5" s="194"/>
      <c r="CW5" s="194"/>
      <c r="CX5" s="194"/>
      <c r="CY5" s="194"/>
      <c r="CZ5" s="194"/>
      <c r="DA5" s="194"/>
      <c r="DB5" s="194"/>
      <c r="DC5" s="194"/>
      <c r="DD5" s="194"/>
      <c r="DE5" s="194"/>
      <c r="DF5" s="194"/>
      <c r="DG5" s="194"/>
      <c r="DH5" s="194"/>
      <c r="DI5" s="194"/>
      <c r="DJ5" s="194"/>
      <c r="DK5" s="194"/>
      <c r="DL5" s="194"/>
      <c r="DM5" s="194"/>
      <c r="DN5" s="194"/>
      <c r="DO5" s="194"/>
      <c r="DP5" s="194"/>
      <c r="DQ5" s="194"/>
      <c r="DR5" s="194"/>
      <c r="DS5" s="194"/>
      <c r="DT5" s="194"/>
      <c r="DU5" s="194"/>
      <c r="DV5" s="194"/>
      <c r="DW5" s="194"/>
      <c r="DX5" s="194"/>
      <c r="DY5" s="194"/>
      <c r="DZ5" s="194"/>
      <c r="EA5" s="194"/>
      <c r="EB5" s="194"/>
      <c r="EC5" s="194"/>
      <c r="ED5" s="194"/>
      <c r="EE5" s="194"/>
      <c r="EF5" s="194"/>
      <c r="EG5" s="194"/>
      <c r="EH5" s="194"/>
      <c r="EI5" s="194"/>
      <c r="EJ5" s="194"/>
      <c r="EK5" s="194"/>
      <c r="EL5" s="194"/>
      <c r="EM5" s="194"/>
      <c r="EN5" s="194"/>
      <c r="EO5" s="194"/>
      <c r="EP5" s="194"/>
      <c r="EQ5" s="194"/>
      <c r="ER5" s="194"/>
      <c r="ES5" s="194"/>
      <c r="ET5" s="194"/>
      <c r="EU5" s="194"/>
      <c r="EV5" s="194"/>
      <c r="EW5" s="194"/>
      <c r="EX5" s="194"/>
      <c r="EY5" s="194"/>
      <c r="EZ5" s="194"/>
      <c r="FA5" s="194"/>
      <c r="FB5" s="194"/>
      <c r="FC5" s="194"/>
      <c r="FD5" s="194"/>
      <c r="FE5" s="194"/>
      <c r="FF5" s="194"/>
      <c r="FG5" s="194"/>
      <c r="FH5" s="194"/>
      <c r="FI5" s="194"/>
      <c r="FJ5" s="194"/>
      <c r="FK5" s="194"/>
      <c r="FL5" s="194"/>
      <c r="FM5" s="194"/>
      <c r="FN5" s="194"/>
      <c r="FO5" s="194"/>
      <c r="FP5" s="194"/>
      <c r="FQ5" s="194"/>
      <c r="FR5" s="194"/>
      <c r="FS5" s="194"/>
      <c r="FT5" s="194"/>
      <c r="FU5" s="194"/>
      <c r="FV5" s="194"/>
      <c r="FW5" s="194"/>
      <c r="FX5" s="194"/>
      <c r="FY5" s="194"/>
      <c r="FZ5" s="194"/>
      <c r="GA5" s="194"/>
      <c r="GB5" s="194"/>
      <c r="GC5" s="194"/>
      <c r="GD5" s="194"/>
      <c r="GE5" s="194"/>
      <c r="GF5" s="194"/>
      <c r="GG5" s="194"/>
      <c r="GH5" s="194"/>
      <c r="GI5" s="194"/>
      <c r="GJ5" s="194"/>
      <c r="GK5" s="194"/>
      <c r="GL5" s="194"/>
      <c r="GM5" s="194"/>
      <c r="GN5" s="194"/>
      <c r="GO5" s="194"/>
      <c r="GP5" s="194"/>
      <c r="GQ5" s="194"/>
      <c r="GR5" s="194"/>
      <c r="GS5" s="194"/>
      <c r="GT5" s="194"/>
      <c r="GU5" s="194"/>
      <c r="GV5" s="194"/>
      <c r="GW5" s="194"/>
      <c r="GX5" s="194"/>
      <c r="GY5" s="194"/>
      <c r="GZ5" s="194"/>
      <c r="HA5" s="194"/>
      <c r="HB5" s="194"/>
      <c r="HC5" s="194"/>
      <c r="HD5" s="194"/>
      <c r="HE5" s="194"/>
      <c r="HF5" s="194"/>
      <c r="HG5" s="194"/>
      <c r="HH5" s="194"/>
      <c r="HI5" s="194"/>
      <c r="HJ5" s="194"/>
      <c r="HK5" s="194"/>
      <c r="HL5" s="194"/>
      <c r="HM5" s="194"/>
      <c r="HN5" s="194"/>
      <c r="HO5" s="194"/>
      <c r="HP5" s="194"/>
      <c r="HQ5" s="194"/>
      <c r="HR5" s="194"/>
      <c r="HS5" s="194"/>
      <c r="HT5" s="194"/>
      <c r="HU5" s="194"/>
      <c r="HV5" s="194"/>
      <c r="HW5" s="194"/>
      <c r="HX5" s="194"/>
      <c r="HY5" s="194"/>
      <c r="HZ5" s="194"/>
      <c r="IA5" s="194"/>
      <c r="IB5" s="194"/>
      <c r="IC5" s="194"/>
      <c r="ID5" s="194"/>
      <c r="IE5" s="194"/>
      <c r="IF5" s="194"/>
      <c r="IG5" s="194"/>
      <c r="IH5" s="194"/>
      <c r="II5" s="194"/>
      <c r="IJ5" s="194"/>
      <c r="IK5" s="194"/>
      <c r="IL5" s="194"/>
      <c r="IM5" s="194"/>
      <c r="IN5" s="194"/>
      <c r="IO5" s="194"/>
      <c r="IP5" s="194"/>
      <c r="IQ5" s="194"/>
      <c r="IR5" s="194"/>
    </row>
    <row r="6" spans="1:252" ht="13.5">
      <c r="A6" s="107"/>
      <c r="B6" s="107"/>
      <c r="C6" s="107"/>
      <c r="D6" s="10"/>
      <c r="E6" s="10"/>
      <c r="F6" s="759"/>
      <c r="G6" s="192"/>
      <c r="H6" s="192"/>
      <c r="I6" s="192"/>
      <c r="J6" s="192"/>
      <c r="K6" s="192"/>
      <c r="L6" s="876"/>
      <c r="M6" s="192"/>
      <c r="N6" s="190"/>
      <c r="O6" s="192"/>
      <c r="P6" s="192"/>
      <c r="Q6" s="190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  <c r="BG6" s="107"/>
      <c r="BH6" s="107"/>
      <c r="BI6" s="107"/>
      <c r="BJ6" s="107"/>
      <c r="BK6" s="107"/>
      <c r="BL6" s="107"/>
      <c r="BM6" s="107"/>
      <c r="BN6" s="107"/>
      <c r="BO6" s="107"/>
      <c r="BP6" s="107"/>
      <c r="BQ6" s="107"/>
      <c r="BR6" s="107"/>
      <c r="BS6" s="107"/>
      <c r="BT6" s="107"/>
      <c r="BU6" s="107"/>
      <c r="BV6" s="107"/>
      <c r="BW6" s="107"/>
      <c r="BX6" s="107"/>
      <c r="BY6" s="107"/>
      <c r="BZ6" s="107"/>
      <c r="CA6" s="107"/>
      <c r="CB6" s="107"/>
      <c r="CC6" s="107"/>
      <c r="CD6" s="107"/>
      <c r="CE6" s="107"/>
      <c r="CF6" s="107"/>
      <c r="CG6" s="107"/>
      <c r="CH6" s="107"/>
      <c r="CI6" s="107"/>
      <c r="CJ6" s="107"/>
      <c r="CK6" s="107"/>
      <c r="CL6" s="107"/>
      <c r="CM6" s="107"/>
      <c r="CN6" s="107"/>
      <c r="CO6" s="107"/>
      <c r="CP6" s="107"/>
      <c r="CQ6" s="107"/>
      <c r="CR6" s="107"/>
      <c r="CS6" s="107"/>
      <c r="CT6" s="107"/>
      <c r="CU6" s="107"/>
      <c r="CV6" s="107"/>
      <c r="CW6" s="107"/>
      <c r="CX6" s="107"/>
      <c r="CY6" s="107"/>
      <c r="CZ6" s="107"/>
      <c r="DA6" s="107"/>
      <c r="DB6" s="107"/>
      <c r="DC6" s="107"/>
      <c r="DD6" s="107"/>
      <c r="DE6" s="107"/>
      <c r="DF6" s="107"/>
      <c r="DG6" s="107"/>
      <c r="DH6" s="107"/>
      <c r="DI6" s="107"/>
      <c r="DJ6" s="107"/>
      <c r="DK6" s="107"/>
      <c r="DL6" s="107"/>
      <c r="DM6" s="107"/>
      <c r="DN6" s="107"/>
      <c r="DO6" s="107"/>
      <c r="DP6" s="107"/>
      <c r="DQ6" s="107"/>
      <c r="DR6" s="107"/>
      <c r="DS6" s="107"/>
      <c r="DT6" s="107"/>
      <c r="DU6" s="107"/>
      <c r="DV6" s="107"/>
      <c r="DW6" s="107"/>
      <c r="DX6" s="107"/>
      <c r="DY6" s="107"/>
      <c r="DZ6" s="107"/>
      <c r="EA6" s="107"/>
      <c r="EB6" s="107"/>
      <c r="EC6" s="107"/>
      <c r="ED6" s="107"/>
      <c r="EE6" s="107"/>
      <c r="EF6" s="107"/>
      <c r="EG6" s="107"/>
      <c r="EH6" s="107"/>
      <c r="EI6" s="107"/>
      <c r="EJ6" s="107"/>
      <c r="EK6" s="107"/>
      <c r="EL6" s="107"/>
      <c r="EM6" s="107"/>
      <c r="EN6" s="107"/>
      <c r="EO6" s="107"/>
      <c r="EP6" s="107"/>
      <c r="EQ6" s="107"/>
      <c r="ER6" s="107"/>
      <c r="ES6" s="107"/>
      <c r="ET6" s="107"/>
      <c r="EU6" s="107"/>
      <c r="EV6" s="107"/>
      <c r="EW6" s="107"/>
      <c r="EX6" s="107"/>
      <c r="EY6" s="107"/>
      <c r="EZ6" s="107"/>
      <c r="FA6" s="107"/>
      <c r="FB6" s="107"/>
      <c r="FC6" s="107"/>
      <c r="FD6" s="107"/>
      <c r="FE6" s="107"/>
      <c r="FF6" s="107"/>
      <c r="FG6" s="107"/>
      <c r="FH6" s="107"/>
      <c r="FI6" s="107"/>
      <c r="FJ6" s="107"/>
      <c r="FK6" s="107"/>
      <c r="FL6" s="107"/>
      <c r="FM6" s="107"/>
      <c r="FN6" s="107"/>
      <c r="FO6" s="107"/>
      <c r="FP6" s="107"/>
      <c r="FQ6" s="107"/>
      <c r="FR6" s="107"/>
      <c r="FS6" s="107"/>
      <c r="FT6" s="107"/>
      <c r="FU6" s="107"/>
      <c r="FV6" s="107"/>
      <c r="FW6" s="107"/>
      <c r="FX6" s="107"/>
      <c r="FY6" s="107"/>
      <c r="FZ6" s="107"/>
      <c r="GA6" s="107"/>
      <c r="GB6" s="107"/>
      <c r="GC6" s="107"/>
      <c r="GD6" s="107"/>
      <c r="GE6" s="107"/>
      <c r="GF6" s="107"/>
      <c r="GG6" s="107"/>
      <c r="GH6" s="107"/>
      <c r="GI6" s="107"/>
      <c r="GJ6" s="107"/>
      <c r="GK6" s="107"/>
      <c r="GL6" s="107"/>
      <c r="GM6" s="107"/>
      <c r="GN6" s="107"/>
      <c r="GO6" s="107"/>
      <c r="GP6" s="107"/>
      <c r="GQ6" s="107"/>
      <c r="GR6" s="107"/>
      <c r="GS6" s="107"/>
      <c r="GT6" s="107"/>
      <c r="GU6" s="107"/>
      <c r="GV6" s="107"/>
      <c r="GW6" s="107"/>
      <c r="GX6" s="107"/>
      <c r="GY6" s="107"/>
      <c r="GZ6" s="107"/>
      <c r="HA6" s="107"/>
      <c r="HB6" s="107"/>
      <c r="HC6" s="107"/>
      <c r="HD6" s="107"/>
      <c r="HE6" s="107"/>
      <c r="HF6" s="107"/>
      <c r="HG6" s="107"/>
      <c r="HH6" s="107"/>
      <c r="HI6" s="107"/>
      <c r="HJ6" s="107"/>
      <c r="HK6" s="107"/>
      <c r="HL6" s="107"/>
      <c r="HM6" s="107"/>
      <c r="HN6" s="107"/>
      <c r="HO6" s="107"/>
      <c r="HP6" s="107"/>
      <c r="HQ6" s="107"/>
      <c r="HR6" s="107"/>
      <c r="HS6" s="107"/>
      <c r="HT6" s="107"/>
      <c r="HU6" s="107"/>
      <c r="HV6" s="107"/>
      <c r="HW6" s="107"/>
      <c r="HX6" s="107"/>
      <c r="HY6" s="107"/>
      <c r="HZ6" s="107"/>
      <c r="IA6" s="107"/>
      <c r="IB6" s="107"/>
      <c r="IC6" s="107"/>
      <c r="ID6" s="107"/>
      <c r="IE6" s="107"/>
      <c r="IF6" s="107"/>
      <c r="IG6" s="107"/>
      <c r="IH6" s="107"/>
      <c r="II6" s="107"/>
      <c r="IJ6" s="107"/>
      <c r="IK6" s="107"/>
      <c r="IL6" s="107"/>
      <c r="IM6" s="107"/>
      <c r="IN6" s="107"/>
      <c r="IO6" s="107"/>
      <c r="IP6" s="107"/>
      <c r="IQ6" s="107"/>
      <c r="IR6" s="107"/>
    </row>
    <row r="7" spans="1:252" ht="14.25">
      <c r="A7" s="194"/>
      <c r="B7" s="194"/>
      <c r="C7" s="928" t="s">
        <v>334</v>
      </c>
      <c r="D7" s="928"/>
      <c r="E7" s="928"/>
      <c r="F7" s="928"/>
      <c r="G7" s="928"/>
      <c r="H7" s="928"/>
      <c r="I7" s="928"/>
      <c r="J7" s="928"/>
      <c r="K7" s="928"/>
      <c r="L7" s="928"/>
      <c r="M7" s="928"/>
      <c r="N7" s="190"/>
      <c r="O7" s="194"/>
      <c r="P7" s="194"/>
      <c r="Q7" s="190"/>
      <c r="R7" s="194"/>
      <c r="S7" s="194"/>
      <c r="T7" s="194"/>
      <c r="U7" s="194"/>
      <c r="V7" s="194"/>
      <c r="W7" s="194"/>
      <c r="X7" s="194"/>
      <c r="Y7" s="194"/>
      <c r="Z7" s="194"/>
      <c r="AA7" s="194"/>
      <c r="AB7" s="194"/>
      <c r="AC7" s="194"/>
      <c r="AD7" s="194"/>
      <c r="AE7" s="194"/>
      <c r="AF7" s="194"/>
      <c r="AG7" s="194"/>
      <c r="AH7" s="194"/>
      <c r="AI7" s="194"/>
      <c r="AJ7" s="194"/>
      <c r="AK7" s="194"/>
      <c r="AL7" s="194"/>
      <c r="AM7" s="194"/>
      <c r="AN7" s="194"/>
      <c r="AO7" s="194"/>
      <c r="AP7" s="194"/>
      <c r="AQ7" s="194"/>
      <c r="AR7" s="194"/>
      <c r="AS7" s="194"/>
      <c r="AT7" s="194"/>
      <c r="AU7" s="194"/>
      <c r="AV7" s="194"/>
      <c r="AW7" s="194"/>
      <c r="AX7" s="194"/>
      <c r="AY7" s="194"/>
      <c r="AZ7" s="194"/>
      <c r="BA7" s="194"/>
      <c r="BB7" s="194"/>
      <c r="BC7" s="194"/>
      <c r="BD7" s="194"/>
      <c r="BE7" s="194"/>
      <c r="BF7" s="194"/>
      <c r="BG7" s="194"/>
      <c r="BH7" s="194"/>
      <c r="BI7" s="194"/>
      <c r="BJ7" s="194"/>
      <c r="BK7" s="194"/>
      <c r="BL7" s="194"/>
      <c r="BM7" s="194"/>
      <c r="BN7" s="194"/>
      <c r="BO7" s="194"/>
      <c r="BP7" s="194"/>
      <c r="BQ7" s="194"/>
      <c r="BR7" s="194"/>
      <c r="BS7" s="194"/>
      <c r="BT7" s="194"/>
      <c r="BU7" s="194"/>
      <c r="BV7" s="194"/>
      <c r="BW7" s="194"/>
      <c r="BX7" s="194"/>
      <c r="BY7" s="194"/>
      <c r="BZ7" s="194"/>
      <c r="CA7" s="194"/>
      <c r="CB7" s="194"/>
      <c r="CC7" s="194"/>
      <c r="CD7" s="194"/>
      <c r="CE7" s="194"/>
      <c r="CF7" s="194"/>
      <c r="CG7" s="194"/>
      <c r="CH7" s="194"/>
      <c r="CI7" s="194"/>
      <c r="CJ7" s="194"/>
      <c r="CK7" s="194"/>
      <c r="CL7" s="194"/>
      <c r="CM7" s="194"/>
      <c r="CN7" s="194"/>
      <c r="CO7" s="194"/>
      <c r="CP7" s="194"/>
      <c r="CQ7" s="194"/>
      <c r="CR7" s="194"/>
      <c r="CS7" s="194"/>
      <c r="CT7" s="194"/>
      <c r="CU7" s="194"/>
      <c r="CV7" s="194"/>
      <c r="CW7" s="194"/>
      <c r="CX7" s="194"/>
      <c r="CY7" s="194"/>
      <c r="CZ7" s="194"/>
      <c r="DA7" s="194"/>
      <c r="DB7" s="194"/>
      <c r="DC7" s="194"/>
      <c r="DD7" s="194"/>
      <c r="DE7" s="194"/>
      <c r="DF7" s="194"/>
      <c r="DG7" s="194"/>
      <c r="DH7" s="194"/>
      <c r="DI7" s="194"/>
      <c r="DJ7" s="194"/>
      <c r="DK7" s="194"/>
      <c r="DL7" s="194"/>
      <c r="DM7" s="194"/>
      <c r="DN7" s="194"/>
      <c r="DO7" s="194"/>
      <c r="DP7" s="194"/>
      <c r="DQ7" s="194"/>
      <c r="DR7" s="194"/>
      <c r="DS7" s="194"/>
      <c r="DT7" s="194"/>
      <c r="DU7" s="194"/>
      <c r="DV7" s="194"/>
      <c r="DW7" s="194"/>
      <c r="DX7" s="194"/>
      <c r="DY7" s="194"/>
      <c r="DZ7" s="194"/>
      <c r="EA7" s="194"/>
      <c r="EB7" s="194"/>
      <c r="EC7" s="194"/>
      <c r="ED7" s="194"/>
      <c r="EE7" s="194"/>
      <c r="EF7" s="194"/>
      <c r="EG7" s="194"/>
      <c r="EH7" s="194"/>
      <c r="EI7" s="194"/>
      <c r="EJ7" s="194"/>
      <c r="EK7" s="194"/>
      <c r="EL7" s="194"/>
      <c r="EM7" s="194"/>
      <c r="EN7" s="194"/>
      <c r="EO7" s="194"/>
      <c r="EP7" s="194"/>
      <c r="EQ7" s="194"/>
      <c r="ER7" s="194"/>
      <c r="ES7" s="194"/>
      <c r="ET7" s="194"/>
      <c r="EU7" s="194"/>
      <c r="EV7" s="194"/>
      <c r="EW7" s="194"/>
      <c r="EX7" s="194"/>
      <c r="EY7" s="194"/>
      <c r="EZ7" s="194"/>
      <c r="FA7" s="194"/>
      <c r="FB7" s="194"/>
      <c r="FC7" s="194"/>
      <c r="FD7" s="194"/>
      <c r="FE7" s="194"/>
      <c r="FF7" s="194"/>
      <c r="FG7" s="194"/>
      <c r="FH7" s="194"/>
      <c r="FI7" s="194"/>
      <c r="FJ7" s="194"/>
      <c r="FK7" s="194"/>
      <c r="FL7" s="194"/>
      <c r="FM7" s="194"/>
      <c r="FN7" s="194"/>
      <c r="FO7" s="194"/>
      <c r="FP7" s="194"/>
      <c r="FQ7" s="194"/>
      <c r="FR7" s="194"/>
      <c r="FS7" s="194"/>
      <c r="FT7" s="194"/>
      <c r="FU7" s="194"/>
      <c r="FV7" s="194"/>
      <c r="FW7" s="194"/>
      <c r="FX7" s="194"/>
      <c r="FY7" s="194"/>
      <c r="FZ7" s="194"/>
      <c r="GA7" s="194"/>
      <c r="GB7" s="194"/>
      <c r="GC7" s="194"/>
      <c r="GD7" s="194"/>
      <c r="GE7" s="194"/>
      <c r="GF7" s="194"/>
      <c r="GG7" s="194"/>
      <c r="GH7" s="194"/>
      <c r="GI7" s="194"/>
      <c r="GJ7" s="194"/>
      <c r="GK7" s="194"/>
      <c r="GL7" s="194"/>
      <c r="GM7" s="194"/>
      <c r="GN7" s="194"/>
      <c r="GO7" s="194"/>
      <c r="GP7" s="194"/>
      <c r="GQ7" s="194"/>
      <c r="GR7" s="194"/>
      <c r="GS7" s="194"/>
      <c r="GT7" s="194"/>
      <c r="GU7" s="194"/>
      <c r="GV7" s="194"/>
      <c r="GW7" s="194"/>
      <c r="GX7" s="194"/>
      <c r="GY7" s="194"/>
      <c r="GZ7" s="194"/>
      <c r="HA7" s="194"/>
      <c r="HB7" s="194"/>
      <c r="HC7" s="194"/>
      <c r="HD7" s="194"/>
      <c r="HE7" s="194"/>
      <c r="HF7" s="194"/>
      <c r="HG7" s="194"/>
      <c r="HH7" s="194"/>
      <c r="HI7" s="194"/>
      <c r="HJ7" s="194"/>
      <c r="HK7" s="194"/>
      <c r="HL7" s="194"/>
      <c r="HM7" s="194"/>
      <c r="HN7" s="194"/>
      <c r="HO7" s="194"/>
      <c r="HP7" s="194"/>
      <c r="HQ7" s="194"/>
      <c r="HR7" s="194"/>
      <c r="HS7" s="194"/>
      <c r="HT7" s="194"/>
      <c r="HU7" s="194"/>
      <c r="HV7" s="194"/>
      <c r="HW7" s="194"/>
      <c r="HX7" s="194"/>
      <c r="HY7" s="194"/>
      <c r="HZ7" s="194"/>
      <c r="IA7" s="194"/>
      <c r="IB7" s="194"/>
      <c r="IC7" s="194"/>
      <c r="ID7" s="194"/>
      <c r="IE7" s="194"/>
      <c r="IF7" s="194"/>
      <c r="IG7" s="194"/>
      <c r="IH7" s="194"/>
      <c r="II7" s="194"/>
      <c r="IJ7" s="194"/>
      <c r="IK7" s="194"/>
      <c r="IL7" s="194"/>
      <c r="IM7" s="194"/>
      <c r="IN7" s="194"/>
      <c r="IO7" s="194"/>
      <c r="IP7" s="194"/>
      <c r="IQ7" s="194"/>
      <c r="IR7" s="194"/>
    </row>
    <row r="8" spans="1:252" ht="31.5" customHeight="1">
      <c r="A8" s="194"/>
      <c r="B8" s="194"/>
      <c r="C8" s="944" t="s">
        <v>582</v>
      </c>
      <c r="D8" s="944"/>
      <c r="E8" s="944"/>
      <c r="F8" s="944"/>
      <c r="G8" s="944"/>
      <c r="H8" s="944"/>
      <c r="I8" s="944"/>
      <c r="J8" s="944"/>
      <c r="K8" s="944"/>
      <c r="L8" s="944"/>
      <c r="M8" s="944"/>
      <c r="N8" s="190"/>
      <c r="O8" s="194"/>
      <c r="P8" s="194"/>
      <c r="Q8" s="190"/>
      <c r="R8" s="194"/>
      <c r="S8" s="194"/>
      <c r="T8" s="194"/>
      <c r="U8" s="194"/>
      <c r="V8" s="194"/>
      <c r="W8" s="194"/>
      <c r="X8" s="194"/>
      <c r="Y8" s="194"/>
      <c r="Z8" s="194"/>
      <c r="AA8" s="194"/>
      <c r="AB8" s="194"/>
      <c r="AC8" s="194"/>
      <c r="AD8" s="194"/>
      <c r="AE8" s="194"/>
      <c r="AF8" s="194"/>
      <c r="AG8" s="194"/>
      <c r="AH8" s="194"/>
      <c r="AI8" s="194"/>
      <c r="AJ8" s="194"/>
      <c r="AK8" s="194"/>
      <c r="AL8" s="194"/>
      <c r="AM8" s="194"/>
      <c r="AN8" s="194"/>
      <c r="AO8" s="194"/>
      <c r="AP8" s="194"/>
      <c r="AQ8" s="194"/>
      <c r="AR8" s="194"/>
      <c r="AS8" s="194"/>
      <c r="AT8" s="194"/>
      <c r="AU8" s="194"/>
      <c r="AV8" s="194"/>
      <c r="AW8" s="194"/>
      <c r="AX8" s="194"/>
      <c r="AY8" s="194"/>
      <c r="AZ8" s="194"/>
      <c r="BA8" s="194"/>
      <c r="BB8" s="194"/>
      <c r="BC8" s="194"/>
      <c r="BD8" s="194"/>
      <c r="BE8" s="194"/>
      <c r="BF8" s="194"/>
      <c r="BG8" s="194"/>
      <c r="BH8" s="194"/>
      <c r="BI8" s="194"/>
      <c r="BJ8" s="194"/>
      <c r="BK8" s="194"/>
      <c r="BL8" s="194"/>
      <c r="BM8" s="194"/>
      <c r="BN8" s="194"/>
      <c r="BO8" s="194"/>
      <c r="BP8" s="194"/>
      <c r="BQ8" s="194"/>
      <c r="BR8" s="194"/>
      <c r="BS8" s="194"/>
      <c r="BT8" s="194"/>
      <c r="BU8" s="194"/>
      <c r="BV8" s="194"/>
      <c r="BW8" s="194"/>
      <c r="BX8" s="194"/>
      <c r="BY8" s="194"/>
      <c r="BZ8" s="194"/>
      <c r="CA8" s="194"/>
      <c r="CB8" s="194"/>
      <c r="CC8" s="194"/>
      <c r="CD8" s="194"/>
      <c r="CE8" s="194"/>
      <c r="CF8" s="194"/>
      <c r="CG8" s="194"/>
      <c r="CH8" s="194"/>
      <c r="CI8" s="194"/>
      <c r="CJ8" s="194"/>
      <c r="CK8" s="194"/>
      <c r="CL8" s="194"/>
      <c r="CM8" s="194"/>
      <c r="CN8" s="194"/>
      <c r="CO8" s="194"/>
      <c r="CP8" s="194"/>
      <c r="CQ8" s="194"/>
      <c r="CR8" s="194"/>
      <c r="CS8" s="194"/>
      <c r="CT8" s="194"/>
      <c r="CU8" s="194"/>
      <c r="CV8" s="194"/>
      <c r="CW8" s="194"/>
      <c r="CX8" s="194"/>
      <c r="CY8" s="194"/>
      <c r="CZ8" s="194"/>
      <c r="DA8" s="194"/>
      <c r="DB8" s="194"/>
      <c r="DC8" s="194"/>
      <c r="DD8" s="194"/>
      <c r="DE8" s="194"/>
      <c r="DF8" s="194"/>
      <c r="DG8" s="194"/>
      <c r="DH8" s="194"/>
      <c r="DI8" s="194"/>
      <c r="DJ8" s="194"/>
      <c r="DK8" s="194"/>
      <c r="DL8" s="194"/>
      <c r="DM8" s="194"/>
      <c r="DN8" s="194"/>
      <c r="DO8" s="194"/>
      <c r="DP8" s="194"/>
      <c r="DQ8" s="194"/>
      <c r="DR8" s="194"/>
      <c r="DS8" s="194"/>
      <c r="DT8" s="194"/>
      <c r="DU8" s="194"/>
      <c r="DV8" s="194"/>
      <c r="DW8" s="194"/>
      <c r="DX8" s="194"/>
      <c r="DY8" s="194"/>
      <c r="DZ8" s="194"/>
      <c r="EA8" s="194"/>
      <c r="EB8" s="194"/>
      <c r="EC8" s="194"/>
      <c r="ED8" s="194"/>
      <c r="EE8" s="194"/>
      <c r="EF8" s="194"/>
      <c r="EG8" s="194"/>
      <c r="EH8" s="194"/>
      <c r="EI8" s="194"/>
      <c r="EJ8" s="194"/>
      <c r="EK8" s="194"/>
      <c r="EL8" s="194"/>
      <c r="EM8" s="194"/>
      <c r="EN8" s="194"/>
      <c r="EO8" s="194"/>
      <c r="EP8" s="194"/>
      <c r="EQ8" s="194"/>
      <c r="ER8" s="194"/>
      <c r="ES8" s="194"/>
      <c r="ET8" s="194"/>
      <c r="EU8" s="194"/>
      <c r="EV8" s="194"/>
      <c r="EW8" s="194"/>
      <c r="EX8" s="194"/>
      <c r="EY8" s="194"/>
      <c r="EZ8" s="194"/>
      <c r="FA8" s="194"/>
      <c r="FB8" s="194"/>
      <c r="FC8" s="194"/>
      <c r="FD8" s="194"/>
      <c r="FE8" s="194"/>
      <c r="FF8" s="194"/>
      <c r="FG8" s="194"/>
      <c r="FH8" s="194"/>
      <c r="FI8" s="194"/>
      <c r="FJ8" s="194"/>
      <c r="FK8" s="194"/>
      <c r="FL8" s="194"/>
      <c r="FM8" s="194"/>
      <c r="FN8" s="194"/>
      <c r="FO8" s="194"/>
      <c r="FP8" s="194"/>
      <c r="FQ8" s="194"/>
      <c r="FR8" s="194"/>
      <c r="FS8" s="194"/>
      <c r="FT8" s="194"/>
      <c r="FU8" s="194"/>
      <c r="FV8" s="194"/>
      <c r="FW8" s="194"/>
      <c r="FX8" s="194"/>
      <c r="FY8" s="194"/>
      <c r="FZ8" s="194"/>
      <c r="GA8" s="194"/>
      <c r="GB8" s="194"/>
      <c r="GC8" s="194"/>
      <c r="GD8" s="194"/>
      <c r="GE8" s="194"/>
      <c r="GF8" s="194"/>
      <c r="GG8" s="194"/>
      <c r="GH8" s="194"/>
      <c r="GI8" s="194"/>
      <c r="GJ8" s="194"/>
      <c r="GK8" s="194"/>
      <c r="GL8" s="194"/>
      <c r="GM8" s="194"/>
      <c r="GN8" s="194"/>
      <c r="GO8" s="194"/>
      <c r="GP8" s="194"/>
      <c r="GQ8" s="194"/>
      <c r="GR8" s="194"/>
      <c r="GS8" s="194"/>
      <c r="GT8" s="194"/>
      <c r="GU8" s="194"/>
      <c r="GV8" s="194"/>
      <c r="GW8" s="194"/>
      <c r="GX8" s="194"/>
      <c r="GY8" s="194"/>
      <c r="GZ8" s="194"/>
      <c r="HA8" s="194"/>
      <c r="HB8" s="194"/>
      <c r="HC8" s="194"/>
      <c r="HD8" s="194"/>
      <c r="HE8" s="194"/>
      <c r="HF8" s="194"/>
      <c r="HG8" s="194"/>
      <c r="HH8" s="194"/>
      <c r="HI8" s="194"/>
      <c r="HJ8" s="194"/>
      <c r="HK8" s="194"/>
      <c r="HL8" s="194"/>
      <c r="HM8" s="194"/>
      <c r="HN8" s="194"/>
      <c r="HO8" s="194"/>
      <c r="HP8" s="194"/>
      <c r="HQ8" s="194"/>
      <c r="HR8" s="194"/>
      <c r="HS8" s="194"/>
      <c r="HT8" s="194"/>
      <c r="HU8" s="194"/>
      <c r="HV8" s="194"/>
      <c r="HW8" s="194"/>
      <c r="HX8" s="194"/>
      <c r="HY8" s="194"/>
      <c r="HZ8" s="194"/>
      <c r="IA8" s="194"/>
      <c r="IB8" s="194"/>
      <c r="IC8" s="194"/>
      <c r="ID8" s="194"/>
      <c r="IE8" s="194"/>
      <c r="IF8" s="194"/>
      <c r="IG8" s="194"/>
      <c r="IH8" s="194"/>
      <c r="II8" s="194"/>
      <c r="IJ8" s="194"/>
      <c r="IK8" s="194"/>
      <c r="IL8" s="194"/>
      <c r="IM8" s="194"/>
      <c r="IN8" s="194"/>
      <c r="IO8" s="194"/>
      <c r="IP8" s="194"/>
      <c r="IQ8" s="194"/>
      <c r="IR8" s="194"/>
    </row>
    <row r="9" spans="1:252" ht="14.25">
      <c r="A9" s="194"/>
      <c r="B9" s="194"/>
      <c r="C9" s="194"/>
      <c r="D9" s="40"/>
      <c r="E9" s="40"/>
      <c r="F9" s="760"/>
      <c r="G9" s="195"/>
      <c r="H9" s="195"/>
      <c r="I9" s="195"/>
      <c r="J9" s="195"/>
      <c r="K9" s="195"/>
      <c r="L9" s="877"/>
      <c r="M9" s="195"/>
      <c r="N9" s="194"/>
      <c r="O9" s="195"/>
      <c r="P9" s="195"/>
      <c r="Q9" s="194"/>
      <c r="R9" s="194"/>
      <c r="S9" s="194"/>
      <c r="T9" s="194"/>
      <c r="U9" s="194"/>
      <c r="V9" s="194"/>
      <c r="W9" s="194"/>
      <c r="X9" s="194"/>
      <c r="Y9" s="194"/>
      <c r="Z9" s="194"/>
      <c r="AA9" s="194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94"/>
      <c r="AP9" s="194"/>
      <c r="AQ9" s="194"/>
      <c r="AR9" s="194"/>
      <c r="AS9" s="194"/>
      <c r="AT9" s="194"/>
      <c r="AU9" s="194"/>
      <c r="AV9" s="194"/>
      <c r="AW9" s="194"/>
      <c r="AX9" s="194"/>
      <c r="AY9" s="194"/>
      <c r="AZ9" s="194"/>
      <c r="BA9" s="194"/>
      <c r="BB9" s="194"/>
      <c r="BC9" s="194"/>
      <c r="BD9" s="194"/>
      <c r="BE9" s="194"/>
      <c r="BF9" s="194"/>
      <c r="BG9" s="194"/>
      <c r="BH9" s="194"/>
      <c r="BI9" s="194"/>
      <c r="BJ9" s="194"/>
      <c r="BK9" s="194"/>
      <c r="BL9" s="194"/>
      <c r="BM9" s="194"/>
      <c r="BN9" s="194"/>
      <c r="BO9" s="194"/>
      <c r="BP9" s="194"/>
      <c r="BQ9" s="194"/>
      <c r="BR9" s="194"/>
      <c r="BS9" s="194"/>
      <c r="BT9" s="194"/>
      <c r="BU9" s="194"/>
      <c r="BV9" s="194"/>
      <c r="BW9" s="194"/>
      <c r="BX9" s="194"/>
      <c r="BY9" s="194"/>
      <c r="BZ9" s="194"/>
      <c r="CA9" s="194"/>
      <c r="CB9" s="194"/>
      <c r="CC9" s="194"/>
      <c r="CD9" s="194"/>
      <c r="CE9" s="194"/>
      <c r="CF9" s="194"/>
      <c r="CG9" s="194"/>
      <c r="CH9" s="194"/>
      <c r="CI9" s="194"/>
      <c r="CJ9" s="194"/>
      <c r="CK9" s="194"/>
      <c r="CL9" s="194"/>
      <c r="CM9" s="194"/>
      <c r="CN9" s="194"/>
      <c r="CO9" s="194"/>
      <c r="CP9" s="194"/>
      <c r="CQ9" s="194"/>
      <c r="CR9" s="194"/>
      <c r="CS9" s="194"/>
      <c r="CT9" s="194"/>
      <c r="CU9" s="194"/>
      <c r="CV9" s="194"/>
      <c r="CW9" s="194"/>
      <c r="CX9" s="194"/>
      <c r="CY9" s="194"/>
      <c r="CZ9" s="194"/>
      <c r="DA9" s="194"/>
      <c r="DB9" s="194"/>
      <c r="DC9" s="194"/>
      <c r="DD9" s="194"/>
      <c r="DE9" s="194"/>
      <c r="DF9" s="194"/>
      <c r="DG9" s="194"/>
      <c r="DH9" s="194"/>
      <c r="DI9" s="194"/>
      <c r="DJ9" s="194"/>
      <c r="DK9" s="194"/>
      <c r="DL9" s="194"/>
      <c r="DM9" s="194"/>
      <c r="DN9" s="194"/>
      <c r="DO9" s="194"/>
      <c r="DP9" s="194"/>
      <c r="DQ9" s="194"/>
      <c r="DR9" s="194"/>
      <c r="DS9" s="194"/>
      <c r="DT9" s="194"/>
      <c r="DU9" s="194"/>
      <c r="DV9" s="194"/>
      <c r="DW9" s="194"/>
      <c r="DX9" s="194"/>
      <c r="DY9" s="194"/>
      <c r="DZ9" s="194"/>
      <c r="EA9" s="194"/>
      <c r="EB9" s="194"/>
      <c r="EC9" s="194"/>
      <c r="ED9" s="194"/>
      <c r="EE9" s="194"/>
      <c r="EF9" s="194"/>
      <c r="EG9" s="194"/>
      <c r="EH9" s="194"/>
      <c r="EI9" s="194"/>
      <c r="EJ9" s="194"/>
      <c r="EK9" s="194"/>
      <c r="EL9" s="194"/>
      <c r="EM9" s="194"/>
      <c r="EN9" s="194"/>
      <c r="EO9" s="194"/>
      <c r="EP9" s="194"/>
      <c r="EQ9" s="194"/>
      <c r="ER9" s="194"/>
      <c r="ES9" s="194"/>
      <c r="ET9" s="194"/>
      <c r="EU9" s="194"/>
      <c r="EV9" s="194"/>
      <c r="EW9" s="194"/>
      <c r="EX9" s="194"/>
      <c r="EY9" s="194"/>
      <c r="EZ9" s="194"/>
      <c r="FA9" s="194"/>
      <c r="FB9" s="194"/>
      <c r="FC9" s="194"/>
      <c r="FD9" s="194"/>
      <c r="FE9" s="194"/>
      <c r="FF9" s="194"/>
      <c r="FG9" s="194"/>
      <c r="FH9" s="194"/>
      <c r="FI9" s="194"/>
      <c r="FJ9" s="194"/>
      <c r="FK9" s="194"/>
      <c r="FL9" s="194"/>
      <c r="FM9" s="194"/>
      <c r="FN9" s="194"/>
      <c r="FO9" s="194"/>
      <c r="FP9" s="194"/>
      <c r="FQ9" s="194"/>
      <c r="FR9" s="194"/>
      <c r="FS9" s="194"/>
      <c r="FT9" s="194"/>
      <c r="FU9" s="194"/>
      <c r="FV9" s="194"/>
      <c r="FW9" s="194"/>
      <c r="FX9" s="194"/>
      <c r="FY9" s="194"/>
      <c r="FZ9" s="194"/>
      <c r="GA9" s="194"/>
      <c r="GB9" s="194"/>
      <c r="GC9" s="194"/>
      <c r="GD9" s="194"/>
      <c r="GE9" s="194"/>
      <c r="GF9" s="194"/>
      <c r="GG9" s="194"/>
      <c r="GH9" s="194"/>
      <c r="GI9" s="194"/>
      <c r="GJ9" s="194"/>
      <c r="GK9" s="194"/>
      <c r="GL9" s="194"/>
      <c r="GM9" s="194"/>
      <c r="GN9" s="194"/>
      <c r="GO9" s="194"/>
      <c r="GP9" s="194"/>
      <c r="GQ9" s="194"/>
      <c r="GR9" s="194"/>
      <c r="GS9" s="194"/>
      <c r="GT9" s="194"/>
      <c r="GU9" s="194"/>
      <c r="GV9" s="194"/>
      <c r="GW9" s="194"/>
      <c r="GX9" s="194"/>
      <c r="GY9" s="194"/>
      <c r="GZ9" s="194"/>
      <c r="HA9" s="194"/>
      <c r="HB9" s="194"/>
      <c r="HC9" s="194"/>
      <c r="HD9" s="194"/>
      <c r="HE9" s="194"/>
      <c r="HF9" s="194"/>
      <c r="HG9" s="194"/>
      <c r="HH9" s="194"/>
      <c r="HI9" s="194"/>
      <c r="HJ9" s="194"/>
      <c r="HK9" s="194"/>
      <c r="HL9" s="194"/>
      <c r="HM9" s="194"/>
      <c r="HN9" s="194"/>
      <c r="HO9" s="194"/>
      <c r="HP9" s="194"/>
      <c r="HQ9" s="194"/>
      <c r="HR9" s="194"/>
      <c r="HS9" s="194"/>
      <c r="HT9" s="194"/>
      <c r="HU9" s="194"/>
      <c r="HV9" s="194"/>
      <c r="HW9" s="194"/>
      <c r="HX9" s="194"/>
      <c r="HY9" s="194"/>
      <c r="HZ9" s="194"/>
      <c r="IA9" s="194"/>
      <c r="IB9" s="194"/>
      <c r="IC9" s="194"/>
      <c r="ID9" s="194"/>
      <c r="IE9" s="194"/>
      <c r="IF9" s="194"/>
      <c r="IG9" s="194"/>
      <c r="IH9" s="194"/>
      <c r="II9" s="194"/>
      <c r="IJ9" s="194"/>
      <c r="IK9" s="194"/>
      <c r="IL9" s="194"/>
      <c r="IM9" s="194"/>
      <c r="IN9" s="194"/>
      <c r="IO9" s="194"/>
      <c r="IP9" s="194"/>
      <c r="IQ9" s="194"/>
      <c r="IR9" s="194"/>
    </row>
    <row r="10" spans="1:252" ht="15" thickBot="1">
      <c r="A10" s="194"/>
      <c r="B10" s="194"/>
      <c r="C10" s="196"/>
      <c r="D10" s="40"/>
      <c r="E10" s="40"/>
      <c r="F10" s="760"/>
      <c r="G10" s="195"/>
      <c r="H10" s="195"/>
      <c r="I10" s="195"/>
      <c r="J10" s="195"/>
      <c r="K10" s="195"/>
      <c r="L10" s="877"/>
      <c r="M10" s="195"/>
      <c r="N10" s="194"/>
      <c r="O10" s="195"/>
      <c r="P10" s="195"/>
      <c r="Q10" s="194"/>
      <c r="R10" s="194"/>
      <c r="S10" s="194"/>
      <c r="T10" s="194"/>
      <c r="U10" s="194"/>
      <c r="V10" s="194"/>
      <c r="W10" s="194"/>
      <c r="X10" s="194"/>
      <c r="Y10" s="194"/>
      <c r="Z10" s="194"/>
      <c r="AA10" s="194"/>
      <c r="AB10" s="194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O10" s="194"/>
      <c r="AP10" s="194"/>
      <c r="AQ10" s="194"/>
      <c r="AR10" s="194"/>
      <c r="AS10" s="194"/>
      <c r="AT10" s="194"/>
      <c r="AU10" s="194"/>
      <c r="AV10" s="194"/>
      <c r="AW10" s="194"/>
      <c r="AX10" s="194"/>
      <c r="AY10" s="194"/>
      <c r="AZ10" s="194"/>
      <c r="BA10" s="194"/>
      <c r="BB10" s="194"/>
      <c r="BC10" s="194"/>
      <c r="BD10" s="194"/>
      <c r="BE10" s="194"/>
      <c r="BF10" s="194"/>
      <c r="BG10" s="194"/>
      <c r="BH10" s="194"/>
      <c r="BI10" s="194"/>
      <c r="BJ10" s="194"/>
      <c r="BK10" s="194"/>
      <c r="BL10" s="194"/>
      <c r="BM10" s="194"/>
      <c r="BN10" s="194"/>
      <c r="BO10" s="194"/>
      <c r="BP10" s="194"/>
      <c r="BQ10" s="194"/>
      <c r="BR10" s="194"/>
      <c r="BS10" s="194"/>
      <c r="BT10" s="194"/>
      <c r="BU10" s="194"/>
      <c r="BV10" s="194"/>
      <c r="BW10" s="194"/>
      <c r="BX10" s="194"/>
      <c r="BY10" s="194"/>
      <c r="BZ10" s="194"/>
      <c r="CA10" s="194"/>
      <c r="CB10" s="194"/>
      <c r="CC10" s="194"/>
      <c r="CD10" s="194"/>
      <c r="CE10" s="194"/>
      <c r="CF10" s="194"/>
      <c r="CG10" s="194"/>
      <c r="CH10" s="194"/>
      <c r="CI10" s="194"/>
      <c r="CJ10" s="194"/>
      <c r="CK10" s="194"/>
      <c r="CL10" s="194"/>
      <c r="CM10" s="194"/>
      <c r="CN10" s="194"/>
      <c r="CO10" s="194"/>
      <c r="CP10" s="194"/>
      <c r="CQ10" s="194"/>
      <c r="CR10" s="194"/>
      <c r="CS10" s="194"/>
      <c r="CT10" s="194"/>
      <c r="CU10" s="194"/>
      <c r="CV10" s="194"/>
      <c r="CW10" s="194"/>
      <c r="CX10" s="194"/>
      <c r="CY10" s="194"/>
      <c r="CZ10" s="194"/>
      <c r="DA10" s="194"/>
      <c r="DB10" s="194"/>
      <c r="DC10" s="194"/>
      <c r="DD10" s="194"/>
      <c r="DE10" s="194"/>
      <c r="DF10" s="194"/>
      <c r="DG10" s="194"/>
      <c r="DH10" s="194"/>
      <c r="DI10" s="194"/>
      <c r="DJ10" s="194"/>
      <c r="DK10" s="194"/>
      <c r="DL10" s="194"/>
      <c r="DM10" s="194"/>
      <c r="DN10" s="194"/>
      <c r="DO10" s="194"/>
      <c r="DP10" s="194"/>
      <c r="DQ10" s="194"/>
      <c r="DR10" s="194"/>
      <c r="DS10" s="194"/>
      <c r="DT10" s="194"/>
      <c r="DU10" s="194"/>
      <c r="DV10" s="194"/>
      <c r="DW10" s="194"/>
      <c r="DX10" s="194"/>
      <c r="DY10" s="194"/>
      <c r="DZ10" s="194"/>
      <c r="EA10" s="194"/>
      <c r="EB10" s="194"/>
      <c r="EC10" s="194"/>
      <c r="ED10" s="194"/>
      <c r="EE10" s="194"/>
      <c r="EF10" s="194"/>
      <c r="EG10" s="194"/>
      <c r="EH10" s="194"/>
      <c r="EI10" s="194"/>
      <c r="EJ10" s="194"/>
      <c r="EK10" s="194"/>
      <c r="EL10" s="194"/>
      <c r="EM10" s="194"/>
      <c r="EN10" s="194"/>
      <c r="EO10" s="194"/>
      <c r="EP10" s="194"/>
      <c r="EQ10" s="194"/>
      <c r="ER10" s="194"/>
      <c r="ES10" s="194"/>
      <c r="ET10" s="194"/>
      <c r="EU10" s="194"/>
      <c r="EV10" s="194"/>
      <c r="EW10" s="194"/>
      <c r="EX10" s="194"/>
      <c r="EY10" s="194"/>
      <c r="EZ10" s="194"/>
      <c r="FA10" s="194"/>
      <c r="FB10" s="194"/>
      <c r="FC10" s="194"/>
      <c r="FD10" s="194"/>
      <c r="FE10" s="194"/>
      <c r="FF10" s="194"/>
      <c r="FG10" s="194"/>
      <c r="FH10" s="194"/>
      <c r="FI10" s="194"/>
      <c r="FJ10" s="194"/>
      <c r="FK10" s="194"/>
      <c r="FL10" s="194"/>
      <c r="FM10" s="194"/>
      <c r="FN10" s="194"/>
      <c r="FO10" s="194"/>
      <c r="FP10" s="194"/>
      <c r="FQ10" s="194"/>
      <c r="FR10" s="194"/>
      <c r="FS10" s="194"/>
      <c r="FT10" s="194"/>
      <c r="FU10" s="194"/>
      <c r="FV10" s="194"/>
      <c r="FW10" s="194"/>
      <c r="FX10" s="194"/>
      <c r="FY10" s="194"/>
      <c r="FZ10" s="194"/>
      <c r="GA10" s="194"/>
      <c r="GB10" s="194"/>
      <c r="GC10" s="194"/>
      <c r="GD10" s="194"/>
      <c r="GE10" s="194"/>
      <c r="GF10" s="194"/>
      <c r="GG10" s="194"/>
      <c r="GH10" s="194"/>
      <c r="GI10" s="194"/>
      <c r="GJ10" s="194"/>
      <c r="GK10" s="194"/>
      <c r="GL10" s="194"/>
      <c r="GM10" s="194"/>
      <c r="GN10" s="194"/>
      <c r="GO10" s="194"/>
      <c r="GP10" s="194"/>
      <c r="GQ10" s="194"/>
      <c r="GR10" s="194"/>
      <c r="GS10" s="194"/>
      <c r="GT10" s="194"/>
      <c r="GU10" s="194"/>
      <c r="GV10" s="194"/>
      <c r="GW10" s="194"/>
      <c r="GX10" s="194"/>
      <c r="GY10" s="194"/>
      <c r="GZ10" s="194"/>
      <c r="HA10" s="194"/>
      <c r="HB10" s="194"/>
      <c r="HC10" s="194"/>
      <c r="HD10" s="194"/>
      <c r="HE10" s="194"/>
      <c r="HF10" s="194"/>
      <c r="HG10" s="194"/>
      <c r="HH10" s="194"/>
      <c r="HI10" s="194"/>
      <c r="HJ10" s="194"/>
      <c r="HK10" s="194"/>
      <c r="HL10" s="194"/>
      <c r="HM10" s="194"/>
      <c r="HN10" s="194"/>
      <c r="HO10" s="194"/>
      <c r="HP10" s="194"/>
      <c r="HQ10" s="194"/>
      <c r="HR10" s="194"/>
      <c r="HS10" s="194"/>
      <c r="HT10" s="194"/>
      <c r="HU10" s="194"/>
      <c r="HV10" s="194"/>
      <c r="HW10" s="194"/>
      <c r="HX10" s="194"/>
      <c r="HY10" s="194"/>
      <c r="HZ10" s="194"/>
      <c r="IA10" s="194"/>
      <c r="IB10" s="194"/>
      <c r="IC10" s="194"/>
      <c r="ID10" s="194"/>
      <c r="IE10" s="194"/>
      <c r="IF10" s="194"/>
      <c r="IG10" s="194"/>
      <c r="IH10" s="194"/>
      <c r="II10" s="194"/>
      <c r="IJ10" s="194"/>
      <c r="IK10" s="194"/>
      <c r="IL10" s="194"/>
      <c r="IM10" s="194"/>
      <c r="IN10" s="194"/>
      <c r="IO10" s="194"/>
      <c r="IP10" s="194"/>
      <c r="IQ10" s="194"/>
      <c r="IR10" s="194"/>
    </row>
    <row r="11" spans="1:252" ht="41.25" thickBot="1">
      <c r="A11" s="717"/>
      <c r="B11" s="717"/>
      <c r="C11" s="717"/>
      <c r="D11" s="719"/>
      <c r="E11" s="720" t="s">
        <v>568</v>
      </c>
      <c r="F11" s="761"/>
      <c r="G11" s="942" t="s">
        <v>583</v>
      </c>
      <c r="H11" s="942"/>
      <c r="I11" s="942"/>
      <c r="J11" s="942"/>
      <c r="K11" s="943"/>
      <c r="L11" s="939" t="s">
        <v>516</v>
      </c>
      <c r="M11" s="940"/>
      <c r="N11" s="941"/>
      <c r="O11" s="939" t="s">
        <v>507</v>
      </c>
      <c r="P11" s="940"/>
      <c r="Q11" s="941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  <c r="AP11" s="107"/>
      <c r="AQ11" s="107"/>
      <c r="AR11" s="107"/>
      <c r="AS11" s="107"/>
      <c r="AT11" s="107"/>
      <c r="AU11" s="107"/>
      <c r="AV11" s="107"/>
      <c r="AW11" s="107"/>
      <c r="AX11" s="107"/>
      <c r="AY11" s="107"/>
      <c r="AZ11" s="107"/>
      <c r="BA11" s="107"/>
      <c r="BB11" s="107"/>
      <c r="BC11" s="107"/>
      <c r="BD11" s="107"/>
      <c r="BE11" s="107"/>
      <c r="BF11" s="107"/>
      <c r="BG11" s="107"/>
      <c r="BH11" s="107"/>
      <c r="BI11" s="107"/>
      <c r="BJ11" s="107"/>
      <c r="BK11" s="107"/>
      <c r="BL11" s="107"/>
      <c r="BM11" s="107"/>
      <c r="BN11" s="107"/>
      <c r="BO11" s="107"/>
      <c r="BP11" s="107"/>
      <c r="BQ11" s="107"/>
      <c r="BR11" s="107"/>
      <c r="BS11" s="107"/>
      <c r="BT11" s="107"/>
      <c r="BU11" s="107"/>
      <c r="BV11" s="107"/>
      <c r="BW11" s="107"/>
      <c r="BX11" s="107"/>
      <c r="BY11" s="107"/>
      <c r="BZ11" s="107"/>
      <c r="CA11" s="107"/>
      <c r="CB11" s="107"/>
      <c r="CC11" s="107"/>
      <c r="CD11" s="107"/>
      <c r="CE11" s="107"/>
      <c r="CF11" s="107"/>
      <c r="CG11" s="107"/>
      <c r="CH11" s="107"/>
      <c r="CI11" s="107"/>
      <c r="CJ11" s="107"/>
      <c r="CK11" s="107"/>
      <c r="CL11" s="107"/>
      <c r="CM11" s="107"/>
      <c r="CN11" s="107"/>
      <c r="CO11" s="107"/>
      <c r="CP11" s="107"/>
      <c r="CQ11" s="107"/>
      <c r="CR11" s="107"/>
      <c r="CS11" s="107"/>
      <c r="CT11" s="107"/>
      <c r="CU11" s="107"/>
      <c r="CV11" s="107"/>
      <c r="CW11" s="107"/>
      <c r="CX11" s="107"/>
      <c r="CY11" s="107"/>
      <c r="CZ11" s="107"/>
      <c r="DA11" s="107"/>
      <c r="DB11" s="107"/>
      <c r="DC11" s="107"/>
      <c r="DD11" s="107"/>
      <c r="DE11" s="107"/>
      <c r="DF11" s="107"/>
      <c r="DG11" s="107"/>
      <c r="DH11" s="107"/>
      <c r="DI11" s="107"/>
      <c r="DJ11" s="107"/>
      <c r="DK11" s="107"/>
      <c r="DL11" s="107"/>
      <c r="DM11" s="107"/>
      <c r="DN11" s="107"/>
      <c r="DO11" s="107"/>
      <c r="DP11" s="107"/>
      <c r="DQ11" s="107"/>
      <c r="DR11" s="107"/>
      <c r="DS11" s="107"/>
      <c r="DT11" s="107"/>
      <c r="DU11" s="107"/>
      <c r="DV11" s="107"/>
      <c r="DW11" s="107"/>
      <c r="DX11" s="107"/>
      <c r="DY11" s="107"/>
      <c r="DZ11" s="107"/>
      <c r="EA11" s="107"/>
      <c r="EB11" s="107"/>
      <c r="EC11" s="107"/>
      <c r="ED11" s="107"/>
      <c r="EE11" s="107"/>
      <c r="EF11" s="107"/>
      <c r="EG11" s="107"/>
      <c r="EH11" s="107"/>
      <c r="EI11" s="107"/>
      <c r="EJ11" s="107"/>
      <c r="EK11" s="107"/>
      <c r="EL11" s="107"/>
      <c r="EM11" s="107"/>
      <c r="EN11" s="107"/>
      <c r="EO11" s="107"/>
      <c r="EP11" s="107"/>
      <c r="EQ11" s="107"/>
      <c r="ER11" s="107"/>
      <c r="ES11" s="107"/>
      <c r="ET11" s="107"/>
      <c r="EU11" s="107"/>
      <c r="EV11" s="107"/>
      <c r="EW11" s="107"/>
      <c r="EX11" s="107"/>
      <c r="EY11" s="107"/>
      <c r="EZ11" s="107"/>
      <c r="FA11" s="107"/>
      <c r="FB11" s="107"/>
      <c r="FC11" s="107"/>
      <c r="FD11" s="107"/>
      <c r="FE11" s="107"/>
      <c r="FF11" s="107"/>
      <c r="FG11" s="107"/>
      <c r="FH11" s="107"/>
      <c r="FI11" s="107"/>
      <c r="FJ11" s="107"/>
      <c r="FK11" s="107"/>
      <c r="FL11" s="107"/>
      <c r="FM11" s="107"/>
      <c r="FN11" s="107"/>
      <c r="FO11" s="107"/>
      <c r="FP11" s="107"/>
      <c r="FQ11" s="107"/>
      <c r="FR11" s="107"/>
      <c r="FS11" s="107"/>
      <c r="FT11" s="107"/>
      <c r="FU11" s="107"/>
      <c r="FV11" s="107"/>
      <c r="FW11" s="107"/>
      <c r="FX11" s="107"/>
      <c r="FY11" s="107"/>
      <c r="FZ11" s="107"/>
      <c r="GA11" s="107"/>
      <c r="GB11" s="107"/>
      <c r="GC11" s="107"/>
      <c r="GD11" s="107"/>
      <c r="GE11" s="107"/>
      <c r="GF11" s="107"/>
      <c r="GG11" s="107"/>
      <c r="GH11" s="107"/>
      <c r="GI11" s="107"/>
      <c r="GJ11" s="107"/>
      <c r="GK11" s="107"/>
      <c r="GL11" s="107"/>
      <c r="GM11" s="107"/>
      <c r="GN11" s="107"/>
      <c r="GO11" s="107"/>
      <c r="GP11" s="107"/>
      <c r="GQ11" s="107"/>
      <c r="GR11" s="107"/>
      <c r="GS11" s="107"/>
      <c r="GT11" s="107"/>
      <c r="GU11" s="107"/>
      <c r="GV11" s="107"/>
      <c r="GW11" s="107"/>
      <c r="GX11" s="107"/>
      <c r="GY11" s="107"/>
      <c r="GZ11" s="107"/>
      <c r="HA11" s="107"/>
      <c r="HB11" s="107"/>
      <c r="HC11" s="107"/>
      <c r="HD11" s="107"/>
      <c r="HE11" s="107"/>
      <c r="HF11" s="107"/>
      <c r="HG11" s="107"/>
      <c r="HH11" s="107"/>
      <c r="HI11" s="107"/>
      <c r="HJ11" s="107"/>
      <c r="HK11" s="107"/>
      <c r="HL11" s="107"/>
      <c r="HM11" s="107"/>
      <c r="HN11" s="107"/>
      <c r="HO11" s="107"/>
      <c r="HP11" s="107"/>
      <c r="HQ11" s="107"/>
      <c r="HR11" s="107"/>
      <c r="HS11" s="107"/>
      <c r="HT11" s="107"/>
      <c r="HU11" s="107"/>
      <c r="HV11" s="107"/>
      <c r="HW11" s="107"/>
      <c r="HX11" s="107"/>
      <c r="HY11" s="107"/>
      <c r="HZ11" s="107"/>
      <c r="IA11" s="107"/>
      <c r="IB11" s="107"/>
      <c r="IC11" s="107"/>
      <c r="ID11" s="107"/>
      <c r="IE11" s="107"/>
      <c r="IF11" s="107"/>
      <c r="IG11" s="107"/>
      <c r="IH11" s="107"/>
      <c r="II11" s="107"/>
      <c r="IJ11" s="107"/>
      <c r="IK11" s="107"/>
      <c r="IL11" s="107"/>
      <c r="IM11" s="107"/>
      <c r="IN11" s="107"/>
      <c r="IO11" s="107"/>
      <c r="IP11" s="107"/>
      <c r="IQ11" s="107"/>
      <c r="IR11" s="107"/>
    </row>
    <row r="12" spans="1:252" ht="67.5">
      <c r="A12" s="208" t="s">
        <v>565</v>
      </c>
      <c r="B12" s="208" t="s">
        <v>566</v>
      </c>
      <c r="C12" s="208" t="s">
        <v>567</v>
      </c>
      <c r="D12" s="718"/>
      <c r="E12" s="208" t="s">
        <v>569</v>
      </c>
      <c r="F12" s="210" t="s">
        <v>195</v>
      </c>
      <c r="G12" s="209" t="s">
        <v>189</v>
      </c>
      <c r="H12" s="210" t="s">
        <v>196</v>
      </c>
      <c r="I12" s="210" t="s">
        <v>197</v>
      </c>
      <c r="J12" s="210" t="s">
        <v>581</v>
      </c>
      <c r="K12" s="210" t="s">
        <v>580</v>
      </c>
      <c r="L12" s="210" t="s">
        <v>189</v>
      </c>
      <c r="M12" s="210" t="s">
        <v>190</v>
      </c>
      <c r="N12" s="210" t="s">
        <v>191</v>
      </c>
      <c r="O12" s="210" t="s">
        <v>189</v>
      </c>
      <c r="P12" s="210" t="s">
        <v>190</v>
      </c>
      <c r="Q12" s="210" t="s">
        <v>191</v>
      </c>
      <c r="R12" s="211"/>
      <c r="S12" s="211"/>
      <c r="T12" s="211"/>
      <c r="U12" s="211"/>
      <c r="V12" s="211"/>
      <c r="W12" s="211"/>
      <c r="X12" s="211"/>
      <c r="Y12" s="211"/>
      <c r="Z12" s="211"/>
      <c r="AA12" s="211"/>
      <c r="AB12" s="211"/>
      <c r="AC12" s="211"/>
      <c r="AD12" s="211"/>
      <c r="AE12" s="211"/>
      <c r="AF12" s="211"/>
      <c r="AG12" s="211"/>
      <c r="AH12" s="211"/>
      <c r="AI12" s="211"/>
      <c r="AJ12" s="211"/>
      <c r="AK12" s="211"/>
      <c r="AL12" s="211"/>
      <c r="AM12" s="211"/>
      <c r="AN12" s="211"/>
      <c r="AO12" s="211"/>
      <c r="AP12" s="211"/>
      <c r="AQ12" s="211"/>
      <c r="AR12" s="211"/>
      <c r="AS12" s="211"/>
      <c r="AT12" s="211"/>
      <c r="AU12" s="211"/>
      <c r="AV12" s="211"/>
      <c r="AW12" s="211"/>
      <c r="AX12" s="211"/>
      <c r="AY12" s="211"/>
      <c r="AZ12" s="211"/>
      <c r="BA12" s="211"/>
      <c r="BB12" s="211"/>
      <c r="BC12" s="211"/>
      <c r="BD12" s="211"/>
      <c r="BE12" s="211"/>
      <c r="BF12" s="211"/>
      <c r="BG12" s="211"/>
      <c r="BH12" s="211"/>
      <c r="BI12" s="211"/>
      <c r="BJ12" s="211"/>
      <c r="BK12" s="211"/>
      <c r="BL12" s="211"/>
      <c r="BM12" s="211"/>
      <c r="BN12" s="211"/>
      <c r="BO12" s="211"/>
      <c r="BP12" s="211"/>
      <c r="BQ12" s="211"/>
      <c r="BR12" s="211"/>
      <c r="BS12" s="211"/>
      <c r="BT12" s="211"/>
      <c r="BU12" s="211"/>
      <c r="BV12" s="211"/>
      <c r="BW12" s="211"/>
      <c r="BX12" s="211"/>
      <c r="BY12" s="211"/>
      <c r="BZ12" s="211"/>
      <c r="CA12" s="211"/>
      <c r="CB12" s="211"/>
      <c r="CC12" s="211"/>
      <c r="CD12" s="211"/>
      <c r="CE12" s="211"/>
      <c r="CF12" s="211"/>
      <c r="CG12" s="211"/>
      <c r="CH12" s="211"/>
      <c r="CI12" s="211"/>
      <c r="CJ12" s="211"/>
      <c r="CK12" s="211"/>
      <c r="CL12" s="211"/>
      <c r="CM12" s="211"/>
      <c r="CN12" s="211"/>
      <c r="CO12" s="211"/>
      <c r="CP12" s="211"/>
      <c r="CQ12" s="211"/>
      <c r="CR12" s="211"/>
      <c r="CS12" s="211"/>
      <c r="CT12" s="211"/>
      <c r="CU12" s="211"/>
      <c r="CV12" s="211"/>
      <c r="CW12" s="211"/>
      <c r="CX12" s="211"/>
      <c r="CY12" s="211"/>
      <c r="CZ12" s="211"/>
      <c r="DA12" s="211"/>
      <c r="DB12" s="211"/>
      <c r="DC12" s="211"/>
      <c r="DD12" s="211"/>
      <c r="DE12" s="211"/>
      <c r="DF12" s="211"/>
      <c r="DG12" s="211"/>
      <c r="DH12" s="211"/>
      <c r="DI12" s="211"/>
      <c r="DJ12" s="211"/>
      <c r="DK12" s="211"/>
      <c r="DL12" s="211"/>
      <c r="DM12" s="211"/>
      <c r="DN12" s="211"/>
      <c r="DO12" s="211"/>
      <c r="DP12" s="211"/>
      <c r="DQ12" s="211"/>
      <c r="DR12" s="211"/>
      <c r="DS12" s="211"/>
      <c r="DT12" s="211"/>
      <c r="DU12" s="211"/>
      <c r="DV12" s="211"/>
      <c r="DW12" s="211"/>
      <c r="DX12" s="211"/>
      <c r="DY12" s="211"/>
      <c r="DZ12" s="211"/>
      <c r="EA12" s="211"/>
      <c r="EB12" s="211"/>
      <c r="EC12" s="211"/>
      <c r="ED12" s="211"/>
      <c r="EE12" s="211"/>
      <c r="EF12" s="211"/>
      <c r="EG12" s="211"/>
      <c r="EH12" s="211"/>
      <c r="EI12" s="211"/>
      <c r="EJ12" s="211"/>
      <c r="EK12" s="211"/>
      <c r="EL12" s="211"/>
      <c r="EM12" s="211"/>
      <c r="EN12" s="211"/>
      <c r="EO12" s="211"/>
      <c r="EP12" s="211"/>
      <c r="EQ12" s="211"/>
      <c r="ER12" s="211"/>
      <c r="ES12" s="211"/>
      <c r="ET12" s="211"/>
      <c r="EU12" s="211"/>
      <c r="EV12" s="211"/>
      <c r="EW12" s="211"/>
      <c r="EX12" s="211"/>
      <c r="EY12" s="211"/>
      <c r="EZ12" s="211"/>
      <c r="FA12" s="211"/>
      <c r="FB12" s="211"/>
      <c r="FC12" s="211"/>
      <c r="FD12" s="211"/>
      <c r="FE12" s="211"/>
      <c r="FF12" s="211"/>
      <c r="FG12" s="211"/>
      <c r="FH12" s="211"/>
      <c r="FI12" s="211"/>
      <c r="FJ12" s="211"/>
      <c r="FK12" s="211"/>
      <c r="FL12" s="211"/>
      <c r="FM12" s="211"/>
      <c r="FN12" s="211"/>
      <c r="FO12" s="211"/>
      <c r="FP12" s="211"/>
      <c r="FQ12" s="211"/>
      <c r="FR12" s="211"/>
      <c r="FS12" s="211"/>
      <c r="FT12" s="211"/>
      <c r="FU12" s="211"/>
      <c r="FV12" s="211"/>
      <c r="FW12" s="211"/>
      <c r="FX12" s="211"/>
      <c r="FY12" s="211"/>
      <c r="FZ12" s="211"/>
      <c r="GA12" s="211"/>
      <c r="GB12" s="211"/>
      <c r="GC12" s="211"/>
      <c r="GD12" s="211"/>
      <c r="GE12" s="211"/>
      <c r="GF12" s="211"/>
      <c r="GG12" s="211"/>
      <c r="GH12" s="211"/>
      <c r="GI12" s="211"/>
      <c r="GJ12" s="211"/>
      <c r="GK12" s="211"/>
      <c r="GL12" s="211"/>
      <c r="GM12" s="211"/>
      <c r="GN12" s="211"/>
      <c r="GO12" s="211"/>
      <c r="GP12" s="211"/>
      <c r="GQ12" s="211"/>
      <c r="GR12" s="211"/>
      <c r="GS12" s="211"/>
      <c r="GT12" s="211"/>
      <c r="GU12" s="211"/>
      <c r="GV12" s="211"/>
      <c r="GW12" s="211"/>
      <c r="GX12" s="211"/>
      <c r="GY12" s="211"/>
      <c r="GZ12" s="211"/>
      <c r="HA12" s="211"/>
      <c r="HB12" s="211"/>
      <c r="HC12" s="211"/>
      <c r="HD12" s="211"/>
      <c r="HE12" s="211"/>
      <c r="HF12" s="211"/>
      <c r="HG12" s="211"/>
      <c r="HH12" s="211"/>
      <c r="HI12" s="211"/>
      <c r="HJ12" s="211"/>
      <c r="HK12" s="211"/>
      <c r="HL12" s="211"/>
      <c r="HM12" s="211"/>
      <c r="HN12" s="211"/>
      <c r="HO12" s="211"/>
      <c r="HP12" s="211"/>
      <c r="HQ12" s="211"/>
      <c r="HR12" s="211"/>
      <c r="HS12" s="211"/>
      <c r="HT12" s="211"/>
      <c r="HU12" s="211"/>
      <c r="HV12" s="211"/>
      <c r="HW12" s="211"/>
      <c r="HX12" s="211"/>
      <c r="HY12" s="211"/>
      <c r="HZ12" s="211"/>
      <c r="IA12" s="211"/>
      <c r="IB12" s="211"/>
      <c r="IC12" s="211"/>
      <c r="ID12" s="211"/>
      <c r="IE12" s="211"/>
      <c r="IF12" s="211"/>
      <c r="IG12" s="211"/>
      <c r="IH12" s="211"/>
      <c r="II12" s="211"/>
      <c r="IJ12" s="211"/>
      <c r="IK12" s="211"/>
      <c r="IL12" s="211"/>
      <c r="IM12" s="211"/>
      <c r="IN12" s="211"/>
      <c r="IO12" s="211"/>
      <c r="IP12" s="211"/>
      <c r="IQ12" s="211"/>
      <c r="IR12" s="211"/>
    </row>
    <row r="13" spans="1:252" ht="13.5" customHeight="1">
      <c r="A13" s="142">
        <v>1</v>
      </c>
      <c r="B13" s="142">
        <v>2</v>
      </c>
      <c r="C13" s="142">
        <v>3</v>
      </c>
      <c r="D13" s="142">
        <v>4</v>
      </c>
      <c r="E13" s="142">
        <v>5</v>
      </c>
      <c r="F13" s="762">
        <v>6</v>
      </c>
      <c r="G13" s="142">
        <v>7</v>
      </c>
      <c r="H13" s="142">
        <v>8</v>
      </c>
      <c r="I13" s="142">
        <v>9</v>
      </c>
      <c r="J13" s="142">
        <v>11</v>
      </c>
      <c r="K13" s="142">
        <v>12</v>
      </c>
      <c r="L13" s="762">
        <v>13</v>
      </c>
      <c r="M13" s="142">
        <v>14</v>
      </c>
      <c r="N13" s="142">
        <v>15</v>
      </c>
      <c r="O13" s="142">
        <v>16</v>
      </c>
      <c r="P13" s="142">
        <v>17</v>
      </c>
      <c r="Q13" s="142">
        <v>18</v>
      </c>
      <c r="R13" s="212"/>
      <c r="S13" s="212"/>
      <c r="T13" s="212"/>
      <c r="U13" s="212"/>
      <c r="V13" s="212"/>
      <c r="W13" s="212"/>
      <c r="X13" s="212"/>
      <c r="Y13" s="212"/>
      <c r="Z13" s="212"/>
      <c r="AA13" s="212"/>
      <c r="AB13" s="212"/>
      <c r="AC13" s="212"/>
      <c r="AD13" s="212"/>
      <c r="AE13" s="212"/>
      <c r="AF13" s="212"/>
      <c r="AG13" s="212"/>
      <c r="AH13" s="212"/>
      <c r="AI13" s="212"/>
      <c r="AJ13" s="212"/>
      <c r="AK13" s="212"/>
      <c r="AL13" s="212"/>
      <c r="AM13" s="212"/>
      <c r="AN13" s="212"/>
      <c r="AO13" s="212"/>
      <c r="AP13" s="212"/>
      <c r="AQ13" s="212"/>
      <c r="AR13" s="212"/>
      <c r="AS13" s="212"/>
      <c r="AT13" s="212"/>
      <c r="AU13" s="212"/>
      <c r="AV13" s="212"/>
      <c r="AW13" s="212"/>
      <c r="AX13" s="212"/>
      <c r="AY13" s="212"/>
      <c r="AZ13" s="212"/>
      <c r="BA13" s="212"/>
      <c r="BB13" s="212"/>
      <c r="BC13" s="212"/>
      <c r="BD13" s="212"/>
      <c r="BE13" s="212"/>
      <c r="BF13" s="212"/>
      <c r="BG13" s="212"/>
      <c r="BH13" s="212"/>
      <c r="BI13" s="212"/>
      <c r="BJ13" s="212"/>
      <c r="BK13" s="212"/>
      <c r="BL13" s="212"/>
      <c r="BM13" s="212"/>
      <c r="BN13" s="212"/>
      <c r="BO13" s="212"/>
      <c r="BP13" s="212"/>
      <c r="BQ13" s="212"/>
      <c r="BR13" s="212"/>
      <c r="BS13" s="212"/>
      <c r="BT13" s="212"/>
      <c r="BU13" s="212"/>
      <c r="BV13" s="212"/>
      <c r="BW13" s="212"/>
      <c r="BX13" s="212"/>
      <c r="BY13" s="212"/>
      <c r="BZ13" s="212"/>
      <c r="CA13" s="212"/>
      <c r="CB13" s="212"/>
      <c r="CC13" s="212"/>
      <c r="CD13" s="212"/>
      <c r="CE13" s="212"/>
      <c r="CF13" s="212"/>
      <c r="CG13" s="212"/>
      <c r="CH13" s="212"/>
      <c r="CI13" s="212"/>
      <c r="CJ13" s="212"/>
      <c r="CK13" s="212"/>
      <c r="CL13" s="212"/>
      <c r="CM13" s="212"/>
      <c r="CN13" s="212"/>
      <c r="CO13" s="212"/>
      <c r="CP13" s="212"/>
      <c r="CQ13" s="212"/>
      <c r="CR13" s="212"/>
      <c r="CS13" s="212"/>
      <c r="CT13" s="212"/>
      <c r="CU13" s="212"/>
      <c r="CV13" s="212"/>
      <c r="CW13" s="212"/>
      <c r="CX13" s="212"/>
      <c r="CY13" s="212"/>
      <c r="CZ13" s="212"/>
      <c r="DA13" s="212"/>
      <c r="DB13" s="212"/>
      <c r="DC13" s="212"/>
      <c r="DD13" s="212"/>
      <c r="DE13" s="212"/>
      <c r="DF13" s="212"/>
      <c r="DG13" s="212"/>
      <c r="DH13" s="212"/>
      <c r="DI13" s="212"/>
      <c r="DJ13" s="212"/>
      <c r="DK13" s="212"/>
      <c r="DL13" s="212"/>
      <c r="DM13" s="212"/>
      <c r="DN13" s="212"/>
      <c r="DO13" s="212"/>
      <c r="DP13" s="212"/>
      <c r="DQ13" s="212"/>
      <c r="DR13" s="212"/>
      <c r="DS13" s="212"/>
      <c r="DT13" s="212"/>
      <c r="DU13" s="212"/>
      <c r="DV13" s="212"/>
      <c r="DW13" s="212"/>
      <c r="DX13" s="212"/>
      <c r="DY13" s="212"/>
      <c r="DZ13" s="212"/>
      <c r="EA13" s="212"/>
      <c r="EB13" s="212"/>
      <c r="EC13" s="212"/>
      <c r="ED13" s="212"/>
      <c r="EE13" s="212"/>
      <c r="EF13" s="212"/>
      <c r="EG13" s="212"/>
      <c r="EH13" s="212"/>
      <c r="EI13" s="212"/>
      <c r="EJ13" s="212"/>
      <c r="EK13" s="212"/>
      <c r="EL13" s="212"/>
      <c r="EM13" s="212"/>
      <c r="EN13" s="212"/>
      <c r="EO13" s="212"/>
      <c r="EP13" s="212"/>
      <c r="EQ13" s="212"/>
      <c r="ER13" s="212"/>
      <c r="ES13" s="212"/>
      <c r="ET13" s="212"/>
      <c r="EU13" s="212"/>
      <c r="EV13" s="212"/>
      <c r="EW13" s="212"/>
      <c r="EX13" s="212"/>
      <c r="EY13" s="212"/>
      <c r="EZ13" s="212"/>
      <c r="FA13" s="212"/>
      <c r="FB13" s="212"/>
      <c r="FC13" s="212"/>
      <c r="FD13" s="212"/>
      <c r="FE13" s="212"/>
      <c r="FF13" s="212"/>
      <c r="FG13" s="212"/>
      <c r="FH13" s="212"/>
      <c r="FI13" s="212"/>
      <c r="FJ13" s="212"/>
      <c r="FK13" s="212"/>
      <c r="FL13" s="212"/>
      <c r="FM13" s="212"/>
      <c r="FN13" s="212"/>
      <c r="FO13" s="212"/>
      <c r="FP13" s="212"/>
      <c r="FQ13" s="212"/>
      <c r="FR13" s="212"/>
      <c r="FS13" s="212"/>
      <c r="FT13" s="212"/>
      <c r="FU13" s="212"/>
      <c r="FV13" s="212"/>
      <c r="FW13" s="212"/>
      <c r="FX13" s="212"/>
      <c r="FY13" s="212"/>
      <c r="FZ13" s="212"/>
      <c r="GA13" s="212"/>
      <c r="GB13" s="212"/>
      <c r="GC13" s="212"/>
      <c r="GD13" s="212"/>
      <c r="GE13" s="212"/>
      <c r="GF13" s="212"/>
      <c r="GG13" s="212"/>
      <c r="GH13" s="212"/>
      <c r="GI13" s="212"/>
      <c r="GJ13" s="212"/>
      <c r="GK13" s="212"/>
      <c r="GL13" s="212"/>
      <c r="GM13" s="212"/>
      <c r="GN13" s="212"/>
      <c r="GO13" s="212"/>
      <c r="GP13" s="212"/>
      <c r="GQ13" s="212"/>
      <c r="GR13" s="212"/>
      <c r="GS13" s="212"/>
      <c r="GT13" s="212"/>
      <c r="GU13" s="212"/>
      <c r="GV13" s="212"/>
      <c r="GW13" s="212"/>
      <c r="GX13" s="212"/>
      <c r="GY13" s="212"/>
      <c r="GZ13" s="212"/>
      <c r="HA13" s="212"/>
      <c r="HB13" s="212"/>
      <c r="HC13" s="212"/>
      <c r="HD13" s="212"/>
      <c r="HE13" s="212"/>
      <c r="HF13" s="212"/>
      <c r="HG13" s="212"/>
      <c r="HH13" s="212"/>
      <c r="HI13" s="212"/>
      <c r="HJ13" s="212"/>
      <c r="HK13" s="212"/>
      <c r="HL13" s="212"/>
      <c r="HM13" s="212"/>
      <c r="HN13" s="212"/>
      <c r="HO13" s="212"/>
      <c r="HP13" s="212"/>
      <c r="HQ13" s="212"/>
      <c r="HR13" s="212"/>
      <c r="HS13" s="212"/>
      <c r="HT13" s="212"/>
      <c r="HU13" s="212"/>
      <c r="HV13" s="212"/>
      <c r="HW13" s="212"/>
      <c r="HX13" s="212"/>
      <c r="HY13" s="212"/>
      <c r="HZ13" s="212"/>
      <c r="IA13" s="212"/>
      <c r="IB13" s="212"/>
      <c r="IC13" s="212"/>
      <c r="ID13" s="212"/>
      <c r="IE13" s="212"/>
      <c r="IF13" s="212"/>
      <c r="IG13" s="212"/>
      <c r="IH13" s="212"/>
      <c r="II13" s="212"/>
      <c r="IJ13" s="212"/>
      <c r="IK13" s="212"/>
      <c r="IL13" s="212"/>
      <c r="IM13" s="212"/>
      <c r="IN13" s="212"/>
      <c r="IO13" s="212"/>
      <c r="IP13" s="212"/>
      <c r="IQ13" s="212"/>
      <c r="IR13" s="212"/>
    </row>
    <row r="14" spans="3:17" ht="20.25" customHeight="1">
      <c r="C14" s="204"/>
      <c r="D14" s="721"/>
      <c r="E14" s="721"/>
      <c r="F14" s="763"/>
      <c r="G14" s="692"/>
      <c r="H14" s="692"/>
      <c r="I14" s="692"/>
      <c r="J14" s="729">
        <v>2023</v>
      </c>
      <c r="K14" s="693"/>
      <c r="L14" s="878"/>
      <c r="M14" s="693"/>
      <c r="N14" s="693"/>
      <c r="O14" s="693"/>
      <c r="P14" s="693"/>
      <c r="Q14" s="693"/>
    </row>
    <row r="15" spans="1:17" ht="33">
      <c r="A15" s="709">
        <v>6</v>
      </c>
      <c r="B15" s="710"/>
      <c r="C15" s="711"/>
      <c r="D15" s="712" t="s">
        <v>570</v>
      </c>
      <c r="E15" s="713"/>
      <c r="F15" s="764"/>
      <c r="G15" s="715">
        <f>+G17+G82+G214</f>
        <v>1395</v>
      </c>
      <c r="H15" s="818"/>
      <c r="I15" s="818"/>
      <c r="J15" s="714"/>
      <c r="K15" s="714"/>
      <c r="L15" s="879">
        <f>+L17+L82+L214</f>
        <v>1</v>
      </c>
      <c r="M15" s="714"/>
      <c r="N15" s="726">
        <f>+N17+N82+N214</f>
        <v>1850</v>
      </c>
      <c r="O15" s="726">
        <f>+O17+O82+O214</f>
        <v>25</v>
      </c>
      <c r="P15" s="726"/>
      <c r="Q15" s="726">
        <f>+Q17+Q82+Q214</f>
        <v>17717.5</v>
      </c>
    </row>
    <row r="16" spans="1:17" ht="28.5" customHeight="1">
      <c r="A16" s="700"/>
      <c r="B16" s="701">
        <v>61</v>
      </c>
      <c r="C16" s="702"/>
      <c r="D16" s="704" t="s">
        <v>575</v>
      </c>
      <c r="E16" s="705"/>
      <c r="F16" s="335"/>
      <c r="G16" s="72"/>
      <c r="H16" s="72"/>
      <c r="I16" s="72"/>
      <c r="J16" s="109"/>
      <c r="K16" s="109"/>
      <c r="L16" s="296"/>
      <c r="M16" s="109"/>
      <c r="N16" s="76"/>
      <c r="O16" s="109"/>
      <c r="P16" s="109"/>
      <c r="Q16" s="76"/>
    </row>
    <row r="17" spans="1:17" ht="82.5">
      <c r="A17" s="703"/>
      <c r="B17" s="703"/>
      <c r="C17" s="706">
        <v>610</v>
      </c>
      <c r="D17" s="707" t="s">
        <v>571</v>
      </c>
      <c r="E17" s="708">
        <v>5</v>
      </c>
      <c r="F17" s="296"/>
      <c r="G17" s="694">
        <f>+G18+G78</f>
        <v>510</v>
      </c>
      <c r="H17" s="72"/>
      <c r="I17" s="72"/>
      <c r="J17" s="728">
        <v>20</v>
      </c>
      <c r="K17" s="109"/>
      <c r="L17" s="362">
        <f>+L18+L78</f>
        <v>1</v>
      </c>
      <c r="M17" s="109"/>
      <c r="N17" s="694">
        <f>+N18+N78</f>
        <v>1850</v>
      </c>
      <c r="O17" s="694">
        <f>+O18+O78</f>
        <v>25</v>
      </c>
      <c r="P17" s="109"/>
      <c r="Q17" s="694">
        <f>+Q18+Q78</f>
        <v>8287.5</v>
      </c>
    </row>
    <row r="18" spans="1:17" ht="28.5">
      <c r="A18" s="697"/>
      <c r="B18" s="697"/>
      <c r="C18" s="695">
        <v>1</v>
      </c>
      <c r="D18" s="696" t="s">
        <v>561</v>
      </c>
      <c r="E18" s="716"/>
      <c r="F18" s="335"/>
      <c r="G18" s="698">
        <f>SUM(G19:G77)</f>
        <v>510</v>
      </c>
      <c r="H18" s="819"/>
      <c r="I18" s="819"/>
      <c r="J18" s="697"/>
      <c r="K18" s="697"/>
      <c r="L18" s="362">
        <f>SUM(L19:L77)</f>
        <v>1</v>
      </c>
      <c r="M18" s="697"/>
      <c r="N18" s="698">
        <f>SUM(N19:N77)</f>
        <v>1850</v>
      </c>
      <c r="O18" s="698">
        <f>SUM(O19:O77)</f>
        <v>25</v>
      </c>
      <c r="P18" s="697"/>
      <c r="Q18" s="698">
        <f>SUM(Q19:Q77)</f>
        <v>8287.5</v>
      </c>
    </row>
    <row r="19" spans="3:17" ht="27">
      <c r="C19" s="142"/>
      <c r="D19" s="802" t="s">
        <v>856</v>
      </c>
      <c r="E19" s="109"/>
      <c r="F19" s="803" t="s">
        <v>686</v>
      </c>
      <c r="G19" s="820">
        <v>3</v>
      </c>
      <c r="H19" s="757">
        <v>2008</v>
      </c>
      <c r="I19" s="76">
        <v>10266</v>
      </c>
      <c r="J19" s="109">
        <f aca="true" t="shared" si="0" ref="J19:J73">IF(($J$14-H19)*J$17&gt;100,100,($J$14-H19)*J$17)</f>
        <v>100</v>
      </c>
      <c r="K19" s="109">
        <f aca="true" t="shared" si="1" ref="K19:K73">IF(J19=100,0,I19-I19*J19%)</f>
        <v>0</v>
      </c>
      <c r="L19" s="296"/>
      <c r="M19" s="109"/>
      <c r="N19" s="76">
        <f>+L19*M19</f>
        <v>0</v>
      </c>
      <c r="O19" s="109"/>
      <c r="P19" s="109"/>
      <c r="Q19" s="76">
        <f>+O19*P19</f>
        <v>0</v>
      </c>
    </row>
    <row r="20" spans="3:17" ht="13.5">
      <c r="C20" s="142"/>
      <c r="D20" s="781" t="s">
        <v>857</v>
      </c>
      <c r="E20" s="109"/>
      <c r="F20" s="803" t="s">
        <v>686</v>
      </c>
      <c r="G20" s="820">
        <v>1</v>
      </c>
      <c r="H20" s="757">
        <v>2008</v>
      </c>
      <c r="I20" s="72">
        <v>2464.7</v>
      </c>
      <c r="J20" s="109">
        <f t="shared" si="0"/>
        <v>100</v>
      </c>
      <c r="K20" s="109">
        <f t="shared" si="1"/>
        <v>0</v>
      </c>
      <c r="L20" s="296"/>
      <c r="M20" s="109"/>
      <c r="N20" s="76">
        <f>+L20*M20</f>
        <v>0</v>
      </c>
      <c r="O20" s="109"/>
      <c r="P20" s="109"/>
      <c r="Q20" s="76">
        <f>+O20*P20</f>
        <v>0</v>
      </c>
    </row>
    <row r="21" spans="3:17" ht="27">
      <c r="C21" s="142"/>
      <c r="D21" s="781" t="s">
        <v>858</v>
      </c>
      <c r="E21" s="109"/>
      <c r="F21" s="803" t="s">
        <v>686</v>
      </c>
      <c r="G21" s="820">
        <v>56</v>
      </c>
      <c r="H21" s="757">
        <v>2008</v>
      </c>
      <c r="I21" s="76">
        <f>30783.2-340.2</f>
        <v>30443</v>
      </c>
      <c r="J21" s="109">
        <f t="shared" si="0"/>
        <v>100</v>
      </c>
      <c r="K21" s="109">
        <f t="shared" si="1"/>
        <v>0</v>
      </c>
      <c r="L21" s="296"/>
      <c r="M21" s="109"/>
      <c r="N21" s="76"/>
      <c r="O21" s="109"/>
      <c r="P21" s="109"/>
      <c r="Q21" s="76">
        <f aca="true" t="shared" si="2" ref="Q21:Q76">+O21*P21</f>
        <v>0</v>
      </c>
    </row>
    <row r="22" spans="3:17" ht="13.5">
      <c r="C22" s="142"/>
      <c r="D22" s="781" t="s">
        <v>860</v>
      </c>
      <c r="E22" s="109"/>
      <c r="F22" s="803" t="s">
        <v>686</v>
      </c>
      <c r="G22" s="72">
        <v>8</v>
      </c>
      <c r="H22" s="72">
        <v>2008</v>
      </c>
      <c r="I22" s="76">
        <v>244</v>
      </c>
      <c r="J22" s="109">
        <f t="shared" si="0"/>
        <v>100</v>
      </c>
      <c r="K22" s="109">
        <f t="shared" si="1"/>
        <v>0</v>
      </c>
      <c r="L22" s="296"/>
      <c r="M22" s="109"/>
      <c r="N22" s="76"/>
      <c r="O22" s="109"/>
      <c r="P22" s="109"/>
      <c r="Q22" s="76">
        <f t="shared" si="2"/>
        <v>0</v>
      </c>
    </row>
    <row r="23" spans="3:17" ht="27">
      <c r="C23" s="142"/>
      <c r="D23" s="781" t="s">
        <v>861</v>
      </c>
      <c r="E23" s="109"/>
      <c r="F23" s="803" t="s">
        <v>686</v>
      </c>
      <c r="G23" s="72">
        <v>1</v>
      </c>
      <c r="H23" s="72">
        <v>2008</v>
      </c>
      <c r="I23" s="72">
        <v>2749.2</v>
      </c>
      <c r="J23" s="109">
        <f t="shared" si="0"/>
        <v>100</v>
      </c>
      <c r="K23" s="109">
        <f t="shared" si="1"/>
        <v>0</v>
      </c>
      <c r="L23" s="296"/>
      <c r="M23" s="109"/>
      <c r="N23" s="76"/>
      <c r="O23" s="109"/>
      <c r="P23" s="109"/>
      <c r="Q23" s="76">
        <f t="shared" si="2"/>
        <v>0</v>
      </c>
    </row>
    <row r="24" spans="3:17" ht="13.5">
      <c r="C24" s="142"/>
      <c r="D24" s="756" t="s">
        <v>862</v>
      </c>
      <c r="E24" s="109"/>
      <c r="F24" s="803" t="s">
        <v>686</v>
      </c>
      <c r="G24" s="72">
        <v>1</v>
      </c>
      <c r="H24" s="72">
        <v>2008</v>
      </c>
      <c r="I24" s="72">
        <v>7978</v>
      </c>
      <c r="J24" s="109">
        <f t="shared" si="0"/>
        <v>100</v>
      </c>
      <c r="K24" s="109">
        <f t="shared" si="1"/>
        <v>0</v>
      </c>
      <c r="L24" s="296"/>
      <c r="M24" s="109"/>
      <c r="N24" s="76"/>
      <c r="O24" s="109"/>
      <c r="P24" s="109"/>
      <c r="Q24" s="76">
        <f t="shared" si="2"/>
        <v>0</v>
      </c>
    </row>
    <row r="25" spans="3:17" ht="15">
      <c r="C25" s="142"/>
      <c r="D25" s="756" t="s">
        <v>863</v>
      </c>
      <c r="E25" s="109"/>
      <c r="F25" s="803" t="s">
        <v>686</v>
      </c>
      <c r="G25" s="72">
        <v>7</v>
      </c>
      <c r="H25" s="72">
        <v>2008</v>
      </c>
      <c r="I25" s="72">
        <v>3268.7</v>
      </c>
      <c r="J25" s="109">
        <f t="shared" si="0"/>
        <v>100</v>
      </c>
      <c r="K25" s="109">
        <f t="shared" si="1"/>
        <v>0</v>
      </c>
      <c r="L25" s="296"/>
      <c r="M25" s="109"/>
      <c r="N25" s="76"/>
      <c r="O25" s="109"/>
      <c r="P25" s="109"/>
      <c r="Q25" s="76">
        <f t="shared" si="2"/>
        <v>0</v>
      </c>
    </row>
    <row r="26" spans="3:17" ht="15">
      <c r="C26" s="142"/>
      <c r="D26" s="756" t="s">
        <v>884</v>
      </c>
      <c r="E26" s="109"/>
      <c r="F26" s="803" t="s">
        <v>686</v>
      </c>
      <c r="G26" s="72">
        <v>3</v>
      </c>
      <c r="H26" s="72">
        <v>2008</v>
      </c>
      <c r="I26" s="72">
        <v>2831.4</v>
      </c>
      <c r="J26" s="109">
        <f t="shared" si="0"/>
        <v>100</v>
      </c>
      <c r="K26" s="109">
        <f t="shared" si="1"/>
        <v>0</v>
      </c>
      <c r="L26" s="296"/>
      <c r="M26" s="109"/>
      <c r="N26" s="76"/>
      <c r="O26" s="109"/>
      <c r="P26" s="109"/>
      <c r="Q26" s="76">
        <f t="shared" si="2"/>
        <v>0</v>
      </c>
    </row>
    <row r="27" spans="3:17" ht="27">
      <c r="C27" s="142"/>
      <c r="D27" s="802" t="s">
        <v>892</v>
      </c>
      <c r="E27" s="109"/>
      <c r="F27" s="803" t="s">
        <v>686</v>
      </c>
      <c r="G27" s="72">
        <v>4</v>
      </c>
      <c r="H27" s="72">
        <v>2008</v>
      </c>
      <c r="I27" s="72">
        <v>1240</v>
      </c>
      <c r="J27" s="109">
        <f t="shared" si="0"/>
        <v>100</v>
      </c>
      <c r="K27" s="109">
        <f t="shared" si="1"/>
        <v>0</v>
      </c>
      <c r="L27" s="296"/>
      <c r="M27" s="109"/>
      <c r="N27" s="76"/>
      <c r="O27" s="109"/>
      <c r="P27" s="109"/>
      <c r="Q27" s="76">
        <f t="shared" si="2"/>
        <v>0</v>
      </c>
    </row>
    <row r="28" spans="3:17" ht="27">
      <c r="C28" s="142"/>
      <c r="D28" s="797" t="s">
        <v>896</v>
      </c>
      <c r="E28" s="109"/>
      <c r="F28" s="803" t="s">
        <v>686</v>
      </c>
      <c r="G28" s="72">
        <v>1</v>
      </c>
      <c r="H28" s="72">
        <v>2008</v>
      </c>
      <c r="I28" s="72">
        <v>4581.4</v>
      </c>
      <c r="J28" s="109">
        <f t="shared" si="0"/>
        <v>100</v>
      </c>
      <c r="K28" s="109">
        <f t="shared" si="1"/>
        <v>0</v>
      </c>
      <c r="L28" s="296"/>
      <c r="M28" s="109"/>
      <c r="N28" s="76"/>
      <c r="O28" s="109"/>
      <c r="P28" s="109"/>
      <c r="Q28" s="76">
        <f t="shared" si="2"/>
        <v>0</v>
      </c>
    </row>
    <row r="29" spans="3:17" ht="13.5">
      <c r="C29" s="142"/>
      <c r="D29" s="781" t="s">
        <v>897</v>
      </c>
      <c r="E29" s="109"/>
      <c r="F29" s="803" t="s">
        <v>686</v>
      </c>
      <c r="G29" s="72">
        <v>1</v>
      </c>
      <c r="H29" s="72">
        <v>2008</v>
      </c>
      <c r="I29" s="72">
        <v>3087.4</v>
      </c>
      <c r="J29" s="109">
        <f t="shared" si="0"/>
        <v>100</v>
      </c>
      <c r="K29" s="109">
        <f t="shared" si="1"/>
        <v>0</v>
      </c>
      <c r="L29" s="296"/>
      <c r="M29" s="109"/>
      <c r="N29" s="76"/>
      <c r="O29" s="109"/>
      <c r="P29" s="109"/>
      <c r="Q29" s="76">
        <f t="shared" si="2"/>
        <v>0</v>
      </c>
    </row>
    <row r="30" spans="3:17" ht="13.5">
      <c r="C30" s="142"/>
      <c r="D30" s="781" t="s">
        <v>897</v>
      </c>
      <c r="E30" s="109"/>
      <c r="F30" s="803" t="s">
        <v>686</v>
      </c>
      <c r="G30" s="72">
        <v>1</v>
      </c>
      <c r="H30" s="72">
        <v>2008</v>
      </c>
      <c r="I30" s="72">
        <v>3087.4</v>
      </c>
      <c r="J30" s="109">
        <f t="shared" si="0"/>
        <v>100</v>
      </c>
      <c r="K30" s="109">
        <f t="shared" si="1"/>
        <v>0</v>
      </c>
      <c r="L30" s="296"/>
      <c r="M30" s="109"/>
      <c r="N30" s="76"/>
      <c r="O30" s="109"/>
      <c r="P30" s="109"/>
      <c r="Q30" s="76">
        <f t="shared" si="2"/>
        <v>0</v>
      </c>
    </row>
    <row r="31" spans="3:17" ht="13.5">
      <c r="C31" s="142"/>
      <c r="D31" s="756" t="s">
        <v>900</v>
      </c>
      <c r="E31" s="109"/>
      <c r="F31" s="803" t="s">
        <v>686</v>
      </c>
      <c r="G31" s="72">
        <v>1</v>
      </c>
      <c r="H31" s="72">
        <v>2002</v>
      </c>
      <c r="I31" s="72">
        <v>750.8</v>
      </c>
      <c r="J31" s="109">
        <f t="shared" si="0"/>
        <v>100</v>
      </c>
      <c r="K31" s="109">
        <f t="shared" si="1"/>
        <v>0</v>
      </c>
      <c r="L31" s="296"/>
      <c r="M31" s="109"/>
      <c r="N31" s="76"/>
      <c r="O31" s="109"/>
      <c r="P31" s="109"/>
      <c r="Q31" s="76">
        <f t="shared" si="2"/>
        <v>0</v>
      </c>
    </row>
    <row r="32" spans="3:17" ht="13.5">
      <c r="C32" s="142"/>
      <c r="D32" s="756" t="s">
        <v>901</v>
      </c>
      <c r="E32" s="109"/>
      <c r="F32" s="803" t="s">
        <v>686</v>
      </c>
      <c r="G32" s="72">
        <v>1</v>
      </c>
      <c r="H32" s="72">
        <v>2005</v>
      </c>
      <c r="I32" s="72">
        <v>943.9</v>
      </c>
      <c r="J32" s="109">
        <f t="shared" si="0"/>
        <v>100</v>
      </c>
      <c r="K32" s="109">
        <f t="shared" si="1"/>
        <v>0</v>
      </c>
      <c r="L32" s="296"/>
      <c r="M32" s="109"/>
      <c r="N32" s="76"/>
      <c r="O32" s="109"/>
      <c r="P32" s="109"/>
      <c r="Q32" s="76">
        <f t="shared" si="2"/>
        <v>0</v>
      </c>
    </row>
    <row r="33" spans="3:17" ht="13.5">
      <c r="C33" s="142"/>
      <c r="D33" s="797" t="s">
        <v>903</v>
      </c>
      <c r="E33" s="109"/>
      <c r="F33" s="803" t="s">
        <v>686</v>
      </c>
      <c r="G33" s="72">
        <v>13</v>
      </c>
      <c r="H33" s="72">
        <v>2007</v>
      </c>
      <c r="I33" s="72">
        <v>9269</v>
      </c>
      <c r="J33" s="109">
        <f t="shared" si="0"/>
        <v>100</v>
      </c>
      <c r="K33" s="109">
        <f t="shared" si="1"/>
        <v>0</v>
      </c>
      <c r="L33" s="296"/>
      <c r="M33" s="109"/>
      <c r="N33" s="76"/>
      <c r="O33" s="109"/>
      <c r="P33" s="109"/>
      <c r="Q33" s="76">
        <f t="shared" si="2"/>
        <v>0</v>
      </c>
    </row>
    <row r="34" spans="3:17" ht="13.5">
      <c r="C34" s="142"/>
      <c r="D34" s="789" t="s">
        <v>905</v>
      </c>
      <c r="E34" s="109"/>
      <c r="F34" s="803" t="s">
        <v>686</v>
      </c>
      <c r="G34" s="72">
        <v>3</v>
      </c>
      <c r="H34" s="72">
        <v>2007</v>
      </c>
      <c r="I34" s="72">
        <v>2139</v>
      </c>
      <c r="J34" s="109">
        <f t="shared" si="0"/>
        <v>100</v>
      </c>
      <c r="K34" s="109">
        <f t="shared" si="1"/>
        <v>0</v>
      </c>
      <c r="L34" s="296"/>
      <c r="M34" s="109"/>
      <c r="N34" s="76"/>
      <c r="O34" s="109"/>
      <c r="P34" s="109"/>
      <c r="Q34" s="76">
        <f t="shared" si="2"/>
        <v>0</v>
      </c>
    </row>
    <row r="35" spans="3:17" ht="13.5">
      <c r="C35" s="142"/>
      <c r="D35" s="789" t="s">
        <v>906</v>
      </c>
      <c r="E35" s="109"/>
      <c r="F35" s="803" t="s">
        <v>686</v>
      </c>
      <c r="G35" s="757">
        <v>1</v>
      </c>
      <c r="H35" s="72">
        <v>2005</v>
      </c>
      <c r="I35" s="72">
        <v>550</v>
      </c>
      <c r="J35" s="109">
        <f t="shared" si="0"/>
        <v>100</v>
      </c>
      <c r="K35" s="109">
        <f t="shared" si="1"/>
        <v>0</v>
      </c>
      <c r="L35" s="296"/>
      <c r="M35" s="109"/>
      <c r="N35" s="76"/>
      <c r="O35" s="109"/>
      <c r="P35" s="109"/>
      <c r="Q35" s="76">
        <f t="shared" si="2"/>
        <v>0</v>
      </c>
    </row>
    <row r="36" spans="3:17" ht="13.5">
      <c r="C36" s="142"/>
      <c r="D36" s="765" t="s">
        <v>907</v>
      </c>
      <c r="E36" s="109"/>
      <c r="F36" s="803" t="s">
        <v>686</v>
      </c>
      <c r="G36" s="757">
        <v>1</v>
      </c>
      <c r="H36" s="72">
        <v>2004</v>
      </c>
      <c r="I36" s="72">
        <v>957.6</v>
      </c>
      <c r="J36" s="109">
        <f t="shared" si="0"/>
        <v>100</v>
      </c>
      <c r="K36" s="109">
        <f t="shared" si="1"/>
        <v>0</v>
      </c>
      <c r="L36" s="296"/>
      <c r="M36" s="109"/>
      <c r="N36" s="76"/>
      <c r="O36" s="109"/>
      <c r="P36" s="109"/>
      <c r="Q36" s="76">
        <f t="shared" si="2"/>
        <v>0</v>
      </c>
    </row>
    <row r="37" spans="3:17" ht="13.5">
      <c r="C37" s="142"/>
      <c r="D37" s="765" t="s">
        <v>908</v>
      </c>
      <c r="E37" s="109"/>
      <c r="F37" s="803" t="s">
        <v>686</v>
      </c>
      <c r="G37" s="757">
        <v>1</v>
      </c>
      <c r="H37" s="72">
        <v>2004</v>
      </c>
      <c r="I37" s="72">
        <v>377.3</v>
      </c>
      <c r="J37" s="109">
        <f t="shared" si="0"/>
        <v>100</v>
      </c>
      <c r="K37" s="109">
        <f t="shared" si="1"/>
        <v>0</v>
      </c>
      <c r="L37" s="296"/>
      <c r="M37" s="109"/>
      <c r="N37" s="76"/>
      <c r="O37" s="109"/>
      <c r="P37" s="109"/>
      <c r="Q37" s="76">
        <f t="shared" si="2"/>
        <v>0</v>
      </c>
    </row>
    <row r="38" spans="3:17" ht="13.5">
      <c r="C38" s="142"/>
      <c r="D38" s="765" t="s">
        <v>909</v>
      </c>
      <c r="E38" s="109"/>
      <c r="F38" s="803" t="s">
        <v>686</v>
      </c>
      <c r="G38" s="757">
        <v>1</v>
      </c>
      <c r="H38" s="72">
        <v>2004</v>
      </c>
      <c r="I38" s="72">
        <v>799.1</v>
      </c>
      <c r="J38" s="109">
        <f t="shared" si="0"/>
        <v>100</v>
      </c>
      <c r="K38" s="109">
        <f t="shared" si="1"/>
        <v>0</v>
      </c>
      <c r="L38" s="296"/>
      <c r="M38" s="109"/>
      <c r="N38" s="76"/>
      <c r="O38" s="109"/>
      <c r="P38" s="109"/>
      <c r="Q38" s="76">
        <f t="shared" si="2"/>
        <v>0</v>
      </c>
    </row>
    <row r="39" spans="3:17" ht="13.5">
      <c r="C39" s="142"/>
      <c r="D39" s="765" t="s">
        <v>910</v>
      </c>
      <c r="E39" s="109"/>
      <c r="F39" s="803" t="s">
        <v>686</v>
      </c>
      <c r="G39" s="757">
        <v>6</v>
      </c>
      <c r="H39" s="72">
        <v>2004</v>
      </c>
      <c r="I39" s="72">
        <v>2042.8</v>
      </c>
      <c r="J39" s="109">
        <f t="shared" si="0"/>
        <v>100</v>
      </c>
      <c r="K39" s="109">
        <f t="shared" si="1"/>
        <v>0</v>
      </c>
      <c r="L39" s="296"/>
      <c r="M39" s="109"/>
      <c r="N39" s="76"/>
      <c r="O39" s="109"/>
      <c r="P39" s="109"/>
      <c r="Q39" s="76">
        <f t="shared" si="2"/>
        <v>0</v>
      </c>
    </row>
    <row r="40" spans="3:17" ht="13.5">
      <c r="C40" s="142"/>
      <c r="D40" s="765" t="s">
        <v>911</v>
      </c>
      <c r="E40" s="109"/>
      <c r="F40" s="803" t="s">
        <v>686</v>
      </c>
      <c r="G40" s="757">
        <v>21</v>
      </c>
      <c r="H40" s="72">
        <v>2004</v>
      </c>
      <c r="I40" s="72">
        <v>7149.87</v>
      </c>
      <c r="J40" s="109">
        <f t="shared" si="0"/>
        <v>100</v>
      </c>
      <c r="K40" s="109">
        <f t="shared" si="1"/>
        <v>0</v>
      </c>
      <c r="L40" s="296"/>
      <c r="M40" s="109"/>
      <c r="N40" s="76"/>
      <c r="O40" s="109"/>
      <c r="P40" s="109"/>
      <c r="Q40" s="76">
        <f t="shared" si="2"/>
        <v>0</v>
      </c>
    </row>
    <row r="41" spans="3:17" ht="13.5">
      <c r="C41" s="142"/>
      <c r="D41" s="765" t="s">
        <v>913</v>
      </c>
      <c r="E41" s="109"/>
      <c r="F41" s="803" t="s">
        <v>686</v>
      </c>
      <c r="G41" s="72">
        <v>2</v>
      </c>
      <c r="H41" s="72">
        <v>2009</v>
      </c>
      <c r="I41" s="821">
        <v>502.186</v>
      </c>
      <c r="J41" s="109">
        <f t="shared" si="0"/>
        <v>100</v>
      </c>
      <c r="K41" s="109">
        <f t="shared" si="1"/>
        <v>0</v>
      </c>
      <c r="L41" s="296"/>
      <c r="M41" s="109"/>
      <c r="N41" s="76"/>
      <c r="O41" s="109"/>
      <c r="P41" s="109"/>
      <c r="Q41" s="76">
        <f t="shared" si="2"/>
        <v>0</v>
      </c>
    </row>
    <row r="42" spans="3:17" ht="30" customHeight="1">
      <c r="C42" s="142"/>
      <c r="D42" s="800" t="s">
        <v>918</v>
      </c>
      <c r="E42" s="109"/>
      <c r="F42" s="803" t="s">
        <v>686</v>
      </c>
      <c r="G42" s="72">
        <v>1</v>
      </c>
      <c r="H42" s="72">
        <v>2009</v>
      </c>
      <c r="I42" s="821">
        <v>192.305</v>
      </c>
      <c r="J42" s="109">
        <f t="shared" si="0"/>
        <v>100</v>
      </c>
      <c r="K42" s="109">
        <f t="shared" si="1"/>
        <v>0</v>
      </c>
      <c r="L42" s="296"/>
      <c r="M42" s="109"/>
      <c r="N42" s="76"/>
      <c r="O42" s="109"/>
      <c r="P42" s="109"/>
      <c r="Q42" s="76">
        <f t="shared" si="2"/>
        <v>0</v>
      </c>
    </row>
    <row r="43" spans="3:17" ht="27" customHeight="1">
      <c r="C43" s="142"/>
      <c r="D43" s="800" t="s">
        <v>918</v>
      </c>
      <c r="E43" s="109"/>
      <c r="F43" s="803" t="s">
        <v>686</v>
      </c>
      <c r="G43" s="72">
        <v>1</v>
      </c>
      <c r="H43" s="72">
        <v>2009</v>
      </c>
      <c r="I43" s="821">
        <v>192.305</v>
      </c>
      <c r="J43" s="109">
        <f t="shared" si="0"/>
        <v>100</v>
      </c>
      <c r="K43" s="109">
        <f t="shared" si="1"/>
        <v>0</v>
      </c>
      <c r="L43" s="296"/>
      <c r="M43" s="109"/>
      <c r="N43" s="76"/>
      <c r="O43" s="109"/>
      <c r="P43" s="109"/>
      <c r="Q43" s="76">
        <f t="shared" si="2"/>
        <v>0</v>
      </c>
    </row>
    <row r="44" spans="3:17" ht="29.25" customHeight="1">
      <c r="C44" s="142"/>
      <c r="D44" s="800" t="s">
        <v>923</v>
      </c>
      <c r="E44" s="109"/>
      <c r="F44" s="803" t="s">
        <v>686</v>
      </c>
      <c r="G44" s="72">
        <v>1</v>
      </c>
      <c r="H44" s="72">
        <v>2009</v>
      </c>
      <c r="I44" s="821">
        <v>192.305</v>
      </c>
      <c r="J44" s="109">
        <f t="shared" si="0"/>
        <v>100</v>
      </c>
      <c r="K44" s="109">
        <f t="shared" si="1"/>
        <v>0</v>
      </c>
      <c r="L44" s="296"/>
      <c r="M44" s="109"/>
      <c r="N44" s="76"/>
      <c r="O44" s="109"/>
      <c r="P44" s="109"/>
      <c r="Q44" s="76">
        <f t="shared" si="2"/>
        <v>0</v>
      </c>
    </row>
    <row r="45" spans="3:17" ht="30.75" customHeight="1">
      <c r="C45" s="142"/>
      <c r="D45" s="800" t="s">
        <v>923</v>
      </c>
      <c r="E45" s="109"/>
      <c r="F45" s="803" t="s">
        <v>686</v>
      </c>
      <c r="G45" s="72">
        <v>1</v>
      </c>
      <c r="H45" s="72">
        <v>2009</v>
      </c>
      <c r="I45" s="821">
        <v>192.305</v>
      </c>
      <c r="J45" s="109">
        <f t="shared" si="0"/>
        <v>100</v>
      </c>
      <c r="K45" s="109">
        <f t="shared" si="1"/>
        <v>0</v>
      </c>
      <c r="L45" s="296"/>
      <c r="M45" s="109"/>
      <c r="N45" s="76"/>
      <c r="O45" s="109"/>
      <c r="P45" s="109"/>
      <c r="Q45" s="76">
        <f t="shared" si="2"/>
        <v>0</v>
      </c>
    </row>
    <row r="46" spans="3:17" ht="13.5">
      <c r="C46" s="142"/>
      <c r="D46" s="804" t="s">
        <v>934</v>
      </c>
      <c r="E46" s="109"/>
      <c r="F46" s="803" t="s">
        <v>686</v>
      </c>
      <c r="G46" s="72">
        <v>45</v>
      </c>
      <c r="H46" s="72">
        <v>2011</v>
      </c>
      <c r="I46" s="822">
        <v>12941.605</v>
      </c>
      <c r="J46" s="109">
        <f t="shared" si="0"/>
        <v>100</v>
      </c>
      <c r="K46" s="109">
        <f t="shared" si="1"/>
        <v>0</v>
      </c>
      <c r="L46" s="296"/>
      <c r="M46" s="109"/>
      <c r="N46" s="76"/>
      <c r="O46" s="109"/>
      <c r="P46" s="109"/>
      <c r="Q46" s="76">
        <f t="shared" si="2"/>
        <v>0</v>
      </c>
    </row>
    <row r="47" spans="3:17" ht="27">
      <c r="C47" s="142"/>
      <c r="D47" s="786" t="s">
        <v>938</v>
      </c>
      <c r="E47" s="109"/>
      <c r="F47" s="803" t="s">
        <v>686</v>
      </c>
      <c r="G47" s="72">
        <v>42</v>
      </c>
      <c r="H47" s="72">
        <v>2011</v>
      </c>
      <c r="I47" s="822">
        <v>11553.444</v>
      </c>
      <c r="J47" s="109">
        <f t="shared" si="0"/>
        <v>100</v>
      </c>
      <c r="K47" s="109">
        <f t="shared" si="1"/>
        <v>0</v>
      </c>
      <c r="L47" s="296"/>
      <c r="M47" s="109"/>
      <c r="N47" s="76"/>
      <c r="O47" s="109"/>
      <c r="P47" s="109"/>
      <c r="Q47" s="76">
        <f t="shared" si="2"/>
        <v>0</v>
      </c>
    </row>
    <row r="48" spans="3:17" ht="13.5">
      <c r="C48" s="142"/>
      <c r="D48" s="786" t="s">
        <v>939</v>
      </c>
      <c r="E48" s="109"/>
      <c r="F48" s="803" t="s">
        <v>686</v>
      </c>
      <c r="G48" s="72">
        <v>2</v>
      </c>
      <c r="H48" s="72">
        <v>2011</v>
      </c>
      <c r="I48" s="822">
        <v>288</v>
      </c>
      <c r="J48" s="109">
        <f t="shared" si="0"/>
        <v>100</v>
      </c>
      <c r="K48" s="109">
        <f t="shared" si="1"/>
        <v>0</v>
      </c>
      <c r="L48" s="296"/>
      <c r="M48" s="109"/>
      <c r="N48" s="76"/>
      <c r="O48" s="109"/>
      <c r="P48" s="109"/>
      <c r="Q48" s="76">
        <f t="shared" si="2"/>
        <v>0</v>
      </c>
    </row>
    <row r="49" spans="3:17" ht="27">
      <c r="C49" s="142"/>
      <c r="D49" s="786" t="s">
        <v>940</v>
      </c>
      <c r="E49" s="109"/>
      <c r="F49" s="803" t="s">
        <v>686</v>
      </c>
      <c r="G49" s="72">
        <v>1</v>
      </c>
      <c r="H49" s="72">
        <v>2012</v>
      </c>
      <c r="I49" s="823">
        <v>522.276</v>
      </c>
      <c r="J49" s="109">
        <f t="shared" si="0"/>
        <v>100</v>
      </c>
      <c r="K49" s="109">
        <f t="shared" si="1"/>
        <v>0</v>
      </c>
      <c r="L49" s="296"/>
      <c r="M49" s="109"/>
      <c r="N49" s="76"/>
      <c r="O49" s="109"/>
      <c r="P49" s="109"/>
      <c r="Q49" s="76">
        <f t="shared" si="2"/>
        <v>0</v>
      </c>
    </row>
    <row r="50" spans="3:17" ht="13.5">
      <c r="C50" s="142"/>
      <c r="D50" s="756" t="s">
        <v>943</v>
      </c>
      <c r="E50" s="109"/>
      <c r="F50" s="803" t="s">
        <v>686</v>
      </c>
      <c r="G50" s="72">
        <v>2</v>
      </c>
      <c r="H50" s="72">
        <v>2012</v>
      </c>
      <c r="I50" s="72">
        <v>1086</v>
      </c>
      <c r="J50" s="109">
        <f t="shared" si="0"/>
        <v>100</v>
      </c>
      <c r="K50" s="109">
        <f t="shared" si="1"/>
        <v>0</v>
      </c>
      <c r="L50" s="296"/>
      <c r="M50" s="109"/>
      <c r="N50" s="76"/>
      <c r="O50" s="109"/>
      <c r="P50" s="109"/>
      <c r="Q50" s="76">
        <f t="shared" si="2"/>
        <v>0</v>
      </c>
    </row>
    <row r="51" spans="3:17" ht="40.5">
      <c r="C51" s="142"/>
      <c r="D51" s="809" t="s">
        <v>944</v>
      </c>
      <c r="E51" s="109"/>
      <c r="F51" s="803" t="s">
        <v>686</v>
      </c>
      <c r="G51" s="72">
        <v>1</v>
      </c>
      <c r="H51" s="72">
        <v>2012</v>
      </c>
      <c r="I51" s="823">
        <v>2213.7</v>
      </c>
      <c r="J51" s="109">
        <f t="shared" si="0"/>
        <v>100</v>
      </c>
      <c r="K51" s="109">
        <f t="shared" si="1"/>
        <v>0</v>
      </c>
      <c r="L51" s="296"/>
      <c r="M51" s="109"/>
      <c r="N51" s="76"/>
      <c r="O51" s="109"/>
      <c r="P51" s="109"/>
      <c r="Q51" s="76">
        <f t="shared" si="2"/>
        <v>0</v>
      </c>
    </row>
    <row r="52" spans="3:17" ht="13.5">
      <c r="C52" s="142"/>
      <c r="D52" s="765" t="s">
        <v>946</v>
      </c>
      <c r="E52" s="109"/>
      <c r="F52" s="803" t="s">
        <v>686</v>
      </c>
      <c r="G52" s="767">
        <v>10</v>
      </c>
      <c r="H52" s="72">
        <v>2012</v>
      </c>
      <c r="I52" s="822">
        <v>3560</v>
      </c>
      <c r="J52" s="109">
        <f t="shared" si="0"/>
        <v>100</v>
      </c>
      <c r="K52" s="109">
        <f t="shared" si="1"/>
        <v>0</v>
      </c>
      <c r="L52" s="296"/>
      <c r="M52" s="109"/>
      <c r="N52" s="76"/>
      <c r="O52" s="109"/>
      <c r="P52" s="109"/>
      <c r="Q52" s="76">
        <f t="shared" si="2"/>
        <v>0</v>
      </c>
    </row>
    <row r="53" spans="3:17" ht="13.5">
      <c r="C53" s="142"/>
      <c r="D53" s="756" t="s">
        <v>943</v>
      </c>
      <c r="E53" s="109"/>
      <c r="F53" s="803" t="s">
        <v>686</v>
      </c>
      <c r="G53" s="767">
        <v>4</v>
      </c>
      <c r="H53" s="72">
        <v>2012</v>
      </c>
      <c r="I53" s="822">
        <v>2172</v>
      </c>
      <c r="J53" s="109">
        <f t="shared" si="0"/>
        <v>100</v>
      </c>
      <c r="K53" s="109">
        <f t="shared" si="1"/>
        <v>0</v>
      </c>
      <c r="L53" s="296"/>
      <c r="M53" s="109"/>
      <c r="N53" s="76"/>
      <c r="O53" s="109"/>
      <c r="P53" s="109"/>
      <c r="Q53" s="76">
        <f t="shared" si="2"/>
        <v>0</v>
      </c>
    </row>
    <row r="54" spans="3:17" ht="13.5">
      <c r="C54" s="142"/>
      <c r="D54" s="765" t="s">
        <v>946</v>
      </c>
      <c r="E54" s="109"/>
      <c r="F54" s="803" t="s">
        <v>686</v>
      </c>
      <c r="G54" s="767">
        <v>1</v>
      </c>
      <c r="H54" s="72">
        <v>2013</v>
      </c>
      <c r="I54" s="822">
        <v>394.5</v>
      </c>
      <c r="J54" s="109">
        <f t="shared" si="0"/>
        <v>100</v>
      </c>
      <c r="K54" s="109">
        <f t="shared" si="1"/>
        <v>0</v>
      </c>
      <c r="L54" s="296"/>
      <c r="M54" s="109"/>
      <c r="N54" s="76"/>
      <c r="O54" s="109"/>
      <c r="P54" s="109"/>
      <c r="Q54" s="76">
        <f t="shared" si="2"/>
        <v>0</v>
      </c>
    </row>
    <row r="55" spans="3:17" ht="13.5">
      <c r="C55" s="142"/>
      <c r="D55" s="765" t="s">
        <v>943</v>
      </c>
      <c r="E55" s="109"/>
      <c r="F55" s="803" t="s">
        <v>686</v>
      </c>
      <c r="G55" s="767">
        <v>10</v>
      </c>
      <c r="H55" s="72">
        <v>2013</v>
      </c>
      <c r="I55" s="822">
        <v>5430</v>
      </c>
      <c r="J55" s="109">
        <f t="shared" si="0"/>
        <v>100</v>
      </c>
      <c r="K55" s="109">
        <f t="shared" si="1"/>
        <v>0</v>
      </c>
      <c r="L55" s="296"/>
      <c r="M55" s="109"/>
      <c r="N55" s="76"/>
      <c r="O55" s="109"/>
      <c r="P55" s="109"/>
      <c r="Q55" s="76">
        <f t="shared" si="2"/>
        <v>0</v>
      </c>
    </row>
    <row r="56" spans="3:17" ht="13.5">
      <c r="C56" s="142"/>
      <c r="D56" s="765" t="s">
        <v>947</v>
      </c>
      <c r="E56" s="109"/>
      <c r="F56" s="803" t="s">
        <v>686</v>
      </c>
      <c r="G56" s="72">
        <v>12</v>
      </c>
      <c r="H56" s="72">
        <v>2013</v>
      </c>
      <c r="I56" s="72">
        <v>2772</v>
      </c>
      <c r="J56" s="109">
        <f t="shared" si="0"/>
        <v>100</v>
      </c>
      <c r="K56" s="109">
        <f t="shared" si="1"/>
        <v>0</v>
      </c>
      <c r="L56" s="296"/>
      <c r="M56" s="109"/>
      <c r="N56" s="76"/>
      <c r="O56" s="109"/>
      <c r="P56" s="109"/>
      <c r="Q56" s="76">
        <f t="shared" si="2"/>
        <v>0</v>
      </c>
    </row>
    <row r="57" spans="3:17" ht="13.5">
      <c r="C57" s="142"/>
      <c r="D57" s="765" t="s">
        <v>948</v>
      </c>
      <c r="E57" s="109"/>
      <c r="F57" s="803" t="s">
        <v>686</v>
      </c>
      <c r="G57" s="833">
        <f>45-2</f>
        <v>43</v>
      </c>
      <c r="H57" s="72">
        <v>2014</v>
      </c>
      <c r="I57" s="822">
        <f>11695.3-519.792</f>
        <v>11175.508</v>
      </c>
      <c r="J57" s="109">
        <f t="shared" si="0"/>
        <v>100</v>
      </c>
      <c r="K57" s="109">
        <f t="shared" si="1"/>
        <v>0</v>
      </c>
      <c r="L57" s="296"/>
      <c r="M57" s="109"/>
      <c r="N57" s="76"/>
      <c r="O57" s="109"/>
      <c r="P57" s="109"/>
      <c r="Q57" s="76">
        <f t="shared" si="2"/>
        <v>0</v>
      </c>
    </row>
    <row r="58" spans="3:17" ht="13.5">
      <c r="C58" s="142"/>
      <c r="D58" s="765" t="s">
        <v>946</v>
      </c>
      <c r="E58" s="109"/>
      <c r="F58" s="803" t="s">
        <v>686</v>
      </c>
      <c r="G58" s="767">
        <v>3</v>
      </c>
      <c r="H58" s="72">
        <v>2014</v>
      </c>
      <c r="I58" s="822">
        <v>1047.999</v>
      </c>
      <c r="J58" s="109">
        <f t="shared" si="0"/>
        <v>100</v>
      </c>
      <c r="K58" s="109">
        <f t="shared" si="1"/>
        <v>0</v>
      </c>
      <c r="L58" s="296"/>
      <c r="M58" s="109"/>
      <c r="N58" s="76"/>
      <c r="O58" s="109"/>
      <c r="P58" s="109"/>
      <c r="Q58" s="76">
        <f t="shared" si="2"/>
        <v>0</v>
      </c>
    </row>
    <row r="59" spans="3:17" ht="13.5">
      <c r="C59" s="142"/>
      <c r="D59" s="765" t="s">
        <v>949</v>
      </c>
      <c r="E59" s="109"/>
      <c r="F59" s="803" t="s">
        <v>686</v>
      </c>
      <c r="G59" s="767">
        <v>1</v>
      </c>
      <c r="H59" s="72">
        <v>2014</v>
      </c>
      <c r="I59" s="822">
        <v>480</v>
      </c>
      <c r="J59" s="109">
        <f t="shared" si="0"/>
        <v>100</v>
      </c>
      <c r="K59" s="109">
        <f t="shared" si="1"/>
        <v>0</v>
      </c>
      <c r="L59" s="296"/>
      <c r="M59" s="109"/>
      <c r="N59" s="76"/>
      <c r="O59" s="109"/>
      <c r="P59" s="109"/>
      <c r="Q59" s="76">
        <f t="shared" si="2"/>
        <v>0</v>
      </c>
    </row>
    <row r="60" spans="3:17" ht="13.5">
      <c r="C60" s="142"/>
      <c r="D60" s="810" t="s">
        <v>952</v>
      </c>
      <c r="E60" s="109"/>
      <c r="F60" s="803" t="s">
        <v>686</v>
      </c>
      <c r="G60" s="834">
        <f>35-1</f>
        <v>34</v>
      </c>
      <c r="H60" s="72">
        <v>2014</v>
      </c>
      <c r="I60" s="822">
        <f>10619.9-303.425</f>
        <v>10316.475</v>
      </c>
      <c r="J60" s="109">
        <f t="shared" si="0"/>
        <v>100</v>
      </c>
      <c r="K60" s="109">
        <f t="shared" si="1"/>
        <v>0</v>
      </c>
      <c r="L60" s="296"/>
      <c r="M60" s="109"/>
      <c r="N60" s="76"/>
      <c r="O60" s="109"/>
      <c r="P60" s="109"/>
      <c r="Q60" s="76">
        <f t="shared" si="2"/>
        <v>0</v>
      </c>
    </row>
    <row r="61" spans="3:17" ht="13.5">
      <c r="C61" s="142"/>
      <c r="D61" s="768" t="s">
        <v>955</v>
      </c>
      <c r="E61" s="109"/>
      <c r="F61" s="803" t="s">
        <v>686</v>
      </c>
      <c r="G61" s="72">
        <v>7</v>
      </c>
      <c r="H61" s="72">
        <v>2015</v>
      </c>
      <c r="I61" s="321">
        <v>2362.5</v>
      </c>
      <c r="J61" s="109">
        <f t="shared" si="0"/>
        <v>100</v>
      </c>
      <c r="K61" s="109">
        <f t="shared" si="1"/>
        <v>0</v>
      </c>
      <c r="L61" s="296"/>
      <c r="M61" s="109"/>
      <c r="N61" s="76"/>
      <c r="O61" s="109"/>
      <c r="P61" s="109"/>
      <c r="Q61" s="76">
        <f t="shared" si="2"/>
        <v>0</v>
      </c>
    </row>
    <row r="62" spans="3:17" ht="13.5">
      <c r="C62" s="142"/>
      <c r="D62" s="775" t="s">
        <v>946</v>
      </c>
      <c r="E62" s="109"/>
      <c r="F62" s="803" t="s">
        <v>686</v>
      </c>
      <c r="G62" s="812">
        <v>1</v>
      </c>
      <c r="H62" s="72"/>
      <c r="I62" s="822">
        <v>552.6</v>
      </c>
      <c r="J62" s="109">
        <f t="shared" si="0"/>
        <v>100</v>
      </c>
      <c r="K62" s="109">
        <f t="shared" si="1"/>
        <v>0</v>
      </c>
      <c r="L62" s="296"/>
      <c r="M62" s="109"/>
      <c r="N62" s="76"/>
      <c r="O62" s="109"/>
      <c r="P62" s="109"/>
      <c r="Q62" s="76">
        <f t="shared" si="2"/>
        <v>0</v>
      </c>
    </row>
    <row r="63" spans="3:17" ht="13.5">
      <c r="C63" s="142"/>
      <c r="D63" s="782" t="s">
        <v>962</v>
      </c>
      <c r="E63" s="109"/>
      <c r="F63" s="756" t="s">
        <v>686</v>
      </c>
      <c r="G63" s="757">
        <v>15</v>
      </c>
      <c r="H63" s="757">
        <v>2016</v>
      </c>
      <c r="I63" s="321">
        <v>6311.625</v>
      </c>
      <c r="J63" s="109">
        <f t="shared" si="0"/>
        <v>100</v>
      </c>
      <c r="K63" s="109">
        <f t="shared" si="1"/>
        <v>0</v>
      </c>
      <c r="L63" s="296"/>
      <c r="M63" s="109"/>
      <c r="N63" s="76"/>
      <c r="O63" s="109"/>
      <c r="P63" s="109"/>
      <c r="Q63" s="76">
        <f t="shared" si="2"/>
        <v>0</v>
      </c>
    </row>
    <row r="64" spans="3:17" ht="13.5">
      <c r="C64" s="142"/>
      <c r="D64" s="765" t="s">
        <v>964</v>
      </c>
      <c r="E64" s="109"/>
      <c r="F64" s="756" t="s">
        <v>686</v>
      </c>
      <c r="G64" s="767">
        <v>60</v>
      </c>
      <c r="H64" s="767">
        <v>2018</v>
      </c>
      <c r="I64" s="822">
        <v>19134</v>
      </c>
      <c r="J64" s="109">
        <f t="shared" si="0"/>
        <v>100</v>
      </c>
      <c r="K64" s="109">
        <f t="shared" si="1"/>
        <v>0</v>
      </c>
      <c r="L64" s="296"/>
      <c r="M64" s="109"/>
      <c r="N64" s="76"/>
      <c r="O64" s="109"/>
      <c r="P64" s="109"/>
      <c r="Q64" s="76">
        <f t="shared" si="2"/>
        <v>0</v>
      </c>
    </row>
    <row r="65" spans="3:17" ht="13.5">
      <c r="C65" s="142"/>
      <c r="D65" s="801" t="s">
        <v>967</v>
      </c>
      <c r="E65" s="109"/>
      <c r="F65" s="756" t="s">
        <v>686</v>
      </c>
      <c r="G65" s="767">
        <v>12</v>
      </c>
      <c r="H65" s="767">
        <v>2017</v>
      </c>
      <c r="I65" s="822">
        <v>3571.2</v>
      </c>
      <c r="J65" s="109">
        <f t="shared" si="0"/>
        <v>100</v>
      </c>
      <c r="K65" s="109">
        <f t="shared" si="1"/>
        <v>0</v>
      </c>
      <c r="L65" s="296"/>
      <c r="M65" s="109"/>
      <c r="N65" s="76"/>
      <c r="O65" s="109"/>
      <c r="P65" s="109"/>
      <c r="Q65" s="76">
        <f t="shared" si="2"/>
        <v>0</v>
      </c>
    </row>
    <row r="66" spans="3:17" ht="13.5">
      <c r="C66" s="142"/>
      <c r="D66" s="801" t="s">
        <v>969</v>
      </c>
      <c r="E66" s="109"/>
      <c r="F66" s="756" t="s">
        <v>686</v>
      </c>
      <c r="G66" s="767">
        <v>3</v>
      </c>
      <c r="H66" s="767">
        <v>2017</v>
      </c>
      <c r="I66" s="822">
        <v>1047</v>
      </c>
      <c r="J66" s="109">
        <f t="shared" si="0"/>
        <v>100</v>
      </c>
      <c r="K66" s="109">
        <f t="shared" si="1"/>
        <v>0</v>
      </c>
      <c r="L66" s="296"/>
      <c r="M66" s="109"/>
      <c r="N66" s="76"/>
      <c r="O66" s="109"/>
      <c r="P66" s="109"/>
      <c r="Q66" s="76">
        <f t="shared" si="2"/>
        <v>0</v>
      </c>
    </row>
    <row r="67" spans="3:17" ht="16.5">
      <c r="C67" s="142"/>
      <c r="D67" s="776" t="s">
        <v>970</v>
      </c>
      <c r="E67" s="109"/>
      <c r="F67" s="756" t="s">
        <v>686</v>
      </c>
      <c r="G67" s="777">
        <v>20</v>
      </c>
      <c r="H67" s="767">
        <v>2019</v>
      </c>
      <c r="I67" s="824">
        <v>6804</v>
      </c>
      <c r="J67" s="109">
        <f t="shared" si="0"/>
        <v>80</v>
      </c>
      <c r="K67" s="109">
        <f t="shared" si="1"/>
        <v>1360.7999999999993</v>
      </c>
      <c r="L67" s="296"/>
      <c r="M67" s="109"/>
      <c r="N67" s="76"/>
      <c r="O67" s="109"/>
      <c r="P67" s="109"/>
      <c r="Q67" s="76">
        <f t="shared" si="2"/>
        <v>0</v>
      </c>
    </row>
    <row r="68" spans="3:17" ht="16.5">
      <c r="C68" s="142"/>
      <c r="D68" s="776" t="s">
        <v>971</v>
      </c>
      <c r="E68" s="109"/>
      <c r="F68" s="756" t="s">
        <v>686</v>
      </c>
      <c r="G68" s="777">
        <v>1</v>
      </c>
      <c r="H68" s="767">
        <v>2019</v>
      </c>
      <c r="I68" s="824">
        <v>540</v>
      </c>
      <c r="J68" s="109">
        <f t="shared" si="0"/>
        <v>80</v>
      </c>
      <c r="K68" s="109">
        <f t="shared" si="1"/>
        <v>108</v>
      </c>
      <c r="L68" s="296"/>
      <c r="M68" s="109"/>
      <c r="N68" s="76"/>
      <c r="O68" s="109"/>
      <c r="P68" s="109"/>
      <c r="Q68" s="76">
        <f t="shared" si="2"/>
        <v>0</v>
      </c>
    </row>
    <row r="69" spans="3:17" ht="27">
      <c r="C69" s="142"/>
      <c r="D69" s="814" t="s">
        <v>975</v>
      </c>
      <c r="E69" s="109"/>
      <c r="F69" s="756" t="s">
        <v>686</v>
      </c>
      <c r="G69" s="794">
        <v>17</v>
      </c>
      <c r="H69" s="767">
        <v>2020</v>
      </c>
      <c r="I69" s="828">
        <v>5571.75</v>
      </c>
      <c r="J69" s="109">
        <f t="shared" si="0"/>
        <v>60</v>
      </c>
      <c r="K69" s="109">
        <f t="shared" si="1"/>
        <v>2228.7000000000003</v>
      </c>
      <c r="L69" s="296"/>
      <c r="M69" s="109"/>
      <c r="N69" s="76"/>
      <c r="O69" s="109"/>
      <c r="P69" s="109"/>
      <c r="Q69" s="76">
        <f t="shared" si="2"/>
        <v>0</v>
      </c>
    </row>
    <row r="70" spans="3:17" ht="13.5">
      <c r="C70" s="142"/>
      <c r="D70" s="699" t="s">
        <v>984</v>
      </c>
      <c r="E70" s="109"/>
      <c r="F70" s="756"/>
      <c r="G70" s="72"/>
      <c r="H70" s="72"/>
      <c r="I70" s="830">
        <v>20934.75</v>
      </c>
      <c r="J70" s="109">
        <f t="shared" si="0"/>
        <v>100</v>
      </c>
      <c r="K70" s="109">
        <f t="shared" si="1"/>
        <v>0</v>
      </c>
      <c r="L70" s="296"/>
      <c r="M70" s="109"/>
      <c r="N70" s="76"/>
      <c r="O70" s="109"/>
      <c r="P70" s="109"/>
      <c r="Q70" s="76">
        <f t="shared" si="2"/>
        <v>0</v>
      </c>
    </row>
    <row r="71" spans="3:17" ht="13.5">
      <c r="C71" s="142"/>
      <c r="D71" s="831" t="s">
        <v>985</v>
      </c>
      <c r="E71" s="109"/>
      <c r="F71" s="756" t="s">
        <v>686</v>
      </c>
      <c r="G71" s="72">
        <v>14</v>
      </c>
      <c r="H71" s="72">
        <v>2021</v>
      </c>
      <c r="I71" s="72">
        <v>5264.419</v>
      </c>
      <c r="J71" s="109">
        <f t="shared" si="0"/>
        <v>40</v>
      </c>
      <c r="K71" s="109">
        <f t="shared" si="1"/>
        <v>3158.6513999999997</v>
      </c>
      <c r="L71" s="296"/>
      <c r="M71" s="109"/>
      <c r="N71" s="76"/>
      <c r="O71" s="109"/>
      <c r="P71" s="109"/>
      <c r="Q71" s="76">
        <f t="shared" si="2"/>
        <v>0</v>
      </c>
    </row>
    <row r="72" spans="3:17" ht="27">
      <c r="C72" s="142"/>
      <c r="D72" s="814" t="s">
        <v>989</v>
      </c>
      <c r="E72" s="109"/>
      <c r="F72" s="756" t="s">
        <v>686</v>
      </c>
      <c r="G72" s="72">
        <v>5</v>
      </c>
      <c r="H72" s="72">
        <v>2021</v>
      </c>
      <c r="I72" s="72">
        <v>1952.16</v>
      </c>
      <c r="J72" s="109">
        <f t="shared" si="0"/>
        <v>40</v>
      </c>
      <c r="K72" s="109">
        <f t="shared" si="1"/>
        <v>1171.296</v>
      </c>
      <c r="L72" s="296"/>
      <c r="M72" s="109"/>
      <c r="N72" s="76"/>
      <c r="O72" s="109"/>
      <c r="P72" s="109"/>
      <c r="Q72" s="76">
        <f t="shared" si="2"/>
        <v>0</v>
      </c>
    </row>
    <row r="73" spans="3:17" ht="27">
      <c r="C73" s="142"/>
      <c r="D73" s="814" t="s">
        <v>990</v>
      </c>
      <c r="E73" s="109"/>
      <c r="F73" s="756" t="s">
        <v>686</v>
      </c>
      <c r="G73" s="72">
        <v>2</v>
      </c>
      <c r="H73" s="72">
        <v>2021</v>
      </c>
      <c r="I73" s="72">
        <v>873.6</v>
      </c>
      <c r="J73" s="109">
        <f t="shared" si="0"/>
        <v>40</v>
      </c>
      <c r="K73" s="109">
        <f t="shared" si="1"/>
        <v>524.16</v>
      </c>
      <c r="L73" s="296"/>
      <c r="M73" s="109"/>
      <c r="N73" s="76"/>
      <c r="O73" s="109"/>
      <c r="P73" s="109"/>
      <c r="Q73" s="76">
        <f t="shared" si="2"/>
        <v>0</v>
      </c>
    </row>
    <row r="74" spans="3:17" ht="13.5">
      <c r="C74" s="142"/>
      <c r="D74" s="873"/>
      <c r="E74" s="109"/>
      <c r="F74" s="756"/>
      <c r="G74" s="72"/>
      <c r="H74" s="72"/>
      <c r="I74" s="72"/>
      <c r="J74" s="109"/>
      <c r="K74" s="109"/>
      <c r="L74" s="296"/>
      <c r="M74" s="109"/>
      <c r="N74" s="76"/>
      <c r="O74" s="109"/>
      <c r="P74" s="109"/>
      <c r="Q74" s="76">
        <f t="shared" si="2"/>
        <v>0</v>
      </c>
    </row>
    <row r="75" spans="3:17" ht="13.5">
      <c r="C75" s="142"/>
      <c r="D75" s="109" t="s">
        <v>1122</v>
      </c>
      <c r="E75" s="109"/>
      <c r="F75" s="756"/>
      <c r="G75" s="72"/>
      <c r="H75" s="72"/>
      <c r="I75" s="72"/>
      <c r="J75" s="109"/>
      <c r="K75" s="109"/>
      <c r="L75" s="296">
        <v>1</v>
      </c>
      <c r="M75" s="109">
        <v>1850</v>
      </c>
      <c r="N75" s="76">
        <f>+L75*M75</f>
        <v>1850</v>
      </c>
      <c r="O75" s="109">
        <v>25</v>
      </c>
      <c r="P75" s="109">
        <v>331.5</v>
      </c>
      <c r="Q75" s="76">
        <f t="shared" si="2"/>
        <v>8287.5</v>
      </c>
    </row>
    <row r="76" spans="3:17" ht="13.5">
      <c r="C76" s="142"/>
      <c r="D76" s="699"/>
      <c r="E76" s="109"/>
      <c r="F76" s="756"/>
      <c r="G76" s="72"/>
      <c r="H76" s="72"/>
      <c r="I76" s="72"/>
      <c r="J76" s="109"/>
      <c r="K76" s="109"/>
      <c r="L76" s="296"/>
      <c r="M76" s="109"/>
      <c r="N76" s="76"/>
      <c r="O76" s="109"/>
      <c r="P76" s="109"/>
      <c r="Q76" s="76">
        <f t="shared" si="2"/>
        <v>0</v>
      </c>
    </row>
    <row r="77" spans="3:17" ht="13.5">
      <c r="C77" s="142"/>
      <c r="D77" s="699" t="s">
        <v>559</v>
      </c>
      <c r="E77" s="109"/>
      <c r="F77" s="296"/>
      <c r="G77" s="72"/>
      <c r="H77" s="72"/>
      <c r="I77" s="72"/>
      <c r="J77" s="109">
        <f>IF(($J$14-H77)*J$17&gt;100,100,($J$14-H77)*J$17)</f>
        <v>100</v>
      </c>
      <c r="K77" s="109">
        <f>IF(J77=100,0,I77-I77*J77%)</f>
        <v>0</v>
      </c>
      <c r="L77" s="296"/>
      <c r="M77" s="109"/>
      <c r="N77" s="76">
        <f>+L77*M77</f>
        <v>0</v>
      </c>
      <c r="O77" s="109"/>
      <c r="P77" s="109"/>
      <c r="Q77" s="76">
        <f>+O77*P77</f>
        <v>0</v>
      </c>
    </row>
    <row r="78" spans="1:17" ht="57">
      <c r="A78" s="697"/>
      <c r="B78" s="697"/>
      <c r="C78" s="695">
        <v>2</v>
      </c>
      <c r="D78" s="696" t="s">
        <v>560</v>
      </c>
      <c r="E78" s="716"/>
      <c r="F78" s="335"/>
      <c r="G78" s="698">
        <f>SUM(G79:G81)</f>
        <v>0</v>
      </c>
      <c r="H78" s="819"/>
      <c r="I78" s="819"/>
      <c r="J78" s="697"/>
      <c r="K78" s="697"/>
      <c r="L78" s="362">
        <f>SUM(L79:L81)</f>
        <v>0</v>
      </c>
      <c r="M78" s="697"/>
      <c r="N78" s="698">
        <f>SUM(N79:N81)</f>
        <v>0</v>
      </c>
      <c r="O78" s="698">
        <f>SUM(O79:O81)</f>
        <v>0</v>
      </c>
      <c r="P78" s="697"/>
      <c r="Q78" s="698">
        <f>SUM(Q79:Q81)</f>
        <v>0</v>
      </c>
    </row>
    <row r="79" spans="3:17" ht="13.5">
      <c r="C79" s="142"/>
      <c r="D79" s="109" t="s">
        <v>559</v>
      </c>
      <c r="E79" s="109"/>
      <c r="F79" s="296"/>
      <c r="G79" s="72"/>
      <c r="H79" s="72"/>
      <c r="I79" s="72"/>
      <c r="J79" s="109">
        <f>IF(($J$14-H79)*J$17&gt;100,100,($J$14-H79)*J$17)</f>
        <v>100</v>
      </c>
      <c r="K79" s="109">
        <f>IF(J79=100,0,I79-I79*J79%)</f>
        <v>0</v>
      </c>
      <c r="L79" s="296"/>
      <c r="M79" s="109"/>
      <c r="N79" s="76">
        <f>+L79*M79</f>
        <v>0</v>
      </c>
      <c r="O79" s="109"/>
      <c r="P79" s="109"/>
      <c r="Q79" s="76">
        <f>+O79*P79</f>
        <v>0</v>
      </c>
    </row>
    <row r="80" spans="3:17" ht="13.5">
      <c r="C80" s="142"/>
      <c r="D80" s="109" t="s">
        <v>559</v>
      </c>
      <c r="E80" s="109"/>
      <c r="F80" s="296"/>
      <c r="G80" s="72"/>
      <c r="H80" s="72">
        <v>2021</v>
      </c>
      <c r="I80" s="72"/>
      <c r="J80" s="109">
        <f>IF(($J$14-H80)*J$17&gt;100,100,($J$14-H80)*J$17)</f>
        <v>40</v>
      </c>
      <c r="K80" s="109">
        <f>IF(J80=100,0,I80-I80*J80%)</f>
        <v>0</v>
      </c>
      <c r="L80" s="296"/>
      <c r="M80" s="109"/>
      <c r="N80" s="76">
        <f>+L80*M80</f>
        <v>0</v>
      </c>
      <c r="O80" s="109"/>
      <c r="P80" s="109"/>
      <c r="Q80" s="76">
        <f>+O80*P80</f>
        <v>0</v>
      </c>
    </row>
    <row r="81" spans="3:17" ht="13.5">
      <c r="C81" s="142"/>
      <c r="D81" s="109" t="s">
        <v>559</v>
      </c>
      <c r="E81" s="109"/>
      <c r="F81" s="296"/>
      <c r="G81" s="72"/>
      <c r="H81" s="72"/>
      <c r="I81" s="72"/>
      <c r="J81" s="109">
        <f>IF(($J$14-H81)*J$17&gt;100,100,($J$14-H81)*J$17)</f>
        <v>100</v>
      </c>
      <c r="K81" s="109">
        <f>IF(J81=100,0,I81-I81*J81%)</f>
        <v>0</v>
      </c>
      <c r="L81" s="296"/>
      <c r="M81" s="109"/>
      <c r="N81" s="76">
        <f>+L81*M81</f>
        <v>0</v>
      </c>
      <c r="O81" s="109"/>
      <c r="P81" s="109"/>
      <c r="Q81" s="76">
        <f>+O81*P81</f>
        <v>0</v>
      </c>
    </row>
    <row r="82" spans="1:17" ht="165">
      <c r="A82" s="703"/>
      <c r="B82" s="703"/>
      <c r="C82" s="706">
        <v>611</v>
      </c>
      <c r="D82" s="707" t="s">
        <v>572</v>
      </c>
      <c r="E82" s="708">
        <v>7</v>
      </c>
      <c r="F82" s="296"/>
      <c r="G82" s="694">
        <f>+G83+G151+G210</f>
        <v>741</v>
      </c>
      <c r="H82" s="72"/>
      <c r="I82" s="72"/>
      <c r="J82" s="728">
        <v>14.3</v>
      </c>
      <c r="K82" s="109">
        <f>IF(J82=100,0,I82-I82*J82%)</f>
        <v>0</v>
      </c>
      <c r="L82" s="362">
        <f>+L83+L151+L210</f>
        <v>0</v>
      </c>
      <c r="M82" s="109"/>
      <c r="N82" s="694">
        <f>+N83+N151+N210</f>
        <v>0</v>
      </c>
      <c r="O82" s="694"/>
      <c r="P82" s="109"/>
      <c r="Q82" s="694">
        <f>+Q83+Q151+Q210</f>
        <v>7030</v>
      </c>
    </row>
    <row r="83" spans="1:17" ht="14.25">
      <c r="A83" s="697"/>
      <c r="B83" s="697"/>
      <c r="C83" s="695">
        <v>1</v>
      </c>
      <c r="D83" s="696" t="s">
        <v>562</v>
      </c>
      <c r="E83" s="696"/>
      <c r="F83" s="335"/>
      <c r="G83" s="698">
        <f>SUM(G84:G150)</f>
        <v>221</v>
      </c>
      <c r="H83" s="819"/>
      <c r="I83" s="819"/>
      <c r="J83" s="697"/>
      <c r="K83" s="697"/>
      <c r="L83" s="362">
        <f>SUM(L84:L150)</f>
        <v>0</v>
      </c>
      <c r="M83" s="697"/>
      <c r="N83" s="698">
        <f>SUM(N84:N150)</f>
        <v>0</v>
      </c>
      <c r="O83" s="698">
        <f>SUM(O84:O150)</f>
        <v>25</v>
      </c>
      <c r="P83" s="697"/>
      <c r="Q83" s="698">
        <f>SUM(Q84:Q150)</f>
        <v>1250</v>
      </c>
    </row>
    <row r="84" spans="3:17" ht="15">
      <c r="C84" s="142"/>
      <c r="D84" s="781" t="s">
        <v>852</v>
      </c>
      <c r="E84" s="109"/>
      <c r="F84" s="296" t="s">
        <v>686</v>
      </c>
      <c r="G84" s="72">
        <v>21</v>
      </c>
      <c r="H84" s="72">
        <v>2008</v>
      </c>
      <c r="I84" s="72">
        <v>2640.33</v>
      </c>
      <c r="J84" s="109">
        <f aca="true" t="shared" si="3" ref="J84:J115">IF(($J$14-H84)*J$82&gt;100,100,($J$14-H84)*J$82)</f>
        <v>100</v>
      </c>
      <c r="K84" s="109">
        <f aca="true" t="shared" si="4" ref="K84:K94">IF(J84=100,0,I84-I84*J84%)</f>
        <v>0</v>
      </c>
      <c r="L84" s="296"/>
      <c r="M84" s="109"/>
      <c r="N84" s="76">
        <f>+L84*M84</f>
        <v>0</v>
      </c>
      <c r="O84" s="109"/>
      <c r="P84" s="109"/>
      <c r="Q84" s="76">
        <f>+O84*P84</f>
        <v>0</v>
      </c>
    </row>
    <row r="85" spans="3:17" ht="13.5">
      <c r="C85" s="142"/>
      <c r="D85" s="756" t="s">
        <v>849</v>
      </c>
      <c r="E85" s="109"/>
      <c r="F85" s="296" t="s">
        <v>686</v>
      </c>
      <c r="G85" s="72">
        <v>1</v>
      </c>
      <c r="H85" s="72">
        <v>2006</v>
      </c>
      <c r="I85" s="76">
        <v>182</v>
      </c>
      <c r="J85" s="109">
        <f t="shared" si="3"/>
        <v>100</v>
      </c>
      <c r="K85" s="109">
        <f t="shared" si="4"/>
        <v>0</v>
      </c>
      <c r="L85" s="296"/>
      <c r="M85" s="109"/>
      <c r="N85" s="76">
        <f aca="true" t="shared" si="5" ref="N85:N147">+L85*M85</f>
        <v>0</v>
      </c>
      <c r="O85" s="109"/>
      <c r="P85" s="109"/>
      <c r="Q85" s="76"/>
    </row>
    <row r="86" spans="3:17" ht="13.5">
      <c r="C86" s="142"/>
      <c r="D86" s="765" t="s">
        <v>850</v>
      </c>
      <c r="E86" s="109"/>
      <c r="F86" s="296" t="s">
        <v>686</v>
      </c>
      <c r="G86" s="72">
        <v>21</v>
      </c>
      <c r="H86" s="72">
        <v>2004</v>
      </c>
      <c r="I86" s="76">
        <f>135.135*21</f>
        <v>2837.835</v>
      </c>
      <c r="J86" s="109">
        <f t="shared" si="3"/>
        <v>100</v>
      </c>
      <c r="K86" s="109">
        <f t="shared" si="4"/>
        <v>0</v>
      </c>
      <c r="L86" s="296"/>
      <c r="M86" s="109"/>
      <c r="N86" s="76">
        <f t="shared" si="5"/>
        <v>0</v>
      </c>
      <c r="O86" s="109"/>
      <c r="P86" s="109"/>
      <c r="Q86" s="76">
        <f>+O86*P86</f>
        <v>0</v>
      </c>
    </row>
    <row r="87" spans="3:17" ht="13.5">
      <c r="C87" s="142"/>
      <c r="D87" s="765" t="s">
        <v>851</v>
      </c>
      <c r="E87" s="109"/>
      <c r="F87" s="296" t="s">
        <v>686</v>
      </c>
      <c r="G87" s="72">
        <v>6</v>
      </c>
      <c r="H87" s="72">
        <v>2004</v>
      </c>
      <c r="I87" s="72">
        <v>810.8</v>
      </c>
      <c r="J87" s="109">
        <f t="shared" si="3"/>
        <v>100</v>
      </c>
      <c r="K87" s="109">
        <f t="shared" si="4"/>
        <v>0</v>
      </c>
      <c r="L87" s="296"/>
      <c r="M87" s="109"/>
      <c r="N87" s="76">
        <f t="shared" si="5"/>
        <v>0</v>
      </c>
      <c r="O87" s="109"/>
      <c r="P87" s="109"/>
      <c r="Q87" s="76">
        <f aca="true" t="shared" si="6" ref="Q87:Q150">+O87*P87</f>
        <v>0</v>
      </c>
    </row>
    <row r="88" spans="3:17" ht="13.5">
      <c r="C88" s="142"/>
      <c r="D88" s="765" t="s">
        <v>853</v>
      </c>
      <c r="E88" s="109"/>
      <c r="F88" s="296" t="s">
        <v>686</v>
      </c>
      <c r="G88" s="72">
        <v>3</v>
      </c>
      <c r="H88" s="72">
        <v>2009</v>
      </c>
      <c r="I88" s="72">
        <v>231.183</v>
      </c>
      <c r="J88" s="109">
        <f t="shared" si="3"/>
        <v>100</v>
      </c>
      <c r="K88" s="109">
        <f t="shared" si="4"/>
        <v>0</v>
      </c>
      <c r="L88" s="296"/>
      <c r="M88" s="109"/>
      <c r="N88" s="76">
        <f t="shared" si="5"/>
        <v>0</v>
      </c>
      <c r="O88" s="109"/>
      <c r="P88" s="109"/>
      <c r="Q88" s="76">
        <f t="shared" si="6"/>
        <v>0</v>
      </c>
    </row>
    <row r="89" spans="3:17" ht="13.5">
      <c r="C89" s="142"/>
      <c r="D89" s="765" t="s">
        <v>854</v>
      </c>
      <c r="E89" s="109"/>
      <c r="F89" s="296" t="s">
        <v>686</v>
      </c>
      <c r="G89" s="72">
        <v>1</v>
      </c>
      <c r="H89" s="72">
        <v>2009</v>
      </c>
      <c r="I89" s="72">
        <v>69.661</v>
      </c>
      <c r="J89" s="109">
        <f t="shared" si="3"/>
        <v>100</v>
      </c>
      <c r="K89" s="109">
        <f t="shared" si="4"/>
        <v>0</v>
      </c>
      <c r="L89" s="296"/>
      <c r="M89" s="109"/>
      <c r="N89" s="76">
        <f t="shared" si="5"/>
        <v>0</v>
      </c>
      <c r="O89" s="109"/>
      <c r="P89" s="109"/>
      <c r="Q89" s="76">
        <f t="shared" si="6"/>
        <v>0</v>
      </c>
    </row>
    <row r="90" spans="3:17" ht="13.5">
      <c r="C90" s="142"/>
      <c r="D90" s="765" t="s">
        <v>854</v>
      </c>
      <c r="E90" s="109"/>
      <c r="F90" s="296" t="s">
        <v>686</v>
      </c>
      <c r="G90" s="72">
        <v>1</v>
      </c>
      <c r="H90" s="72">
        <v>2009</v>
      </c>
      <c r="I90" s="72">
        <v>69.661</v>
      </c>
      <c r="J90" s="109">
        <f t="shared" si="3"/>
        <v>100</v>
      </c>
      <c r="K90" s="109">
        <f t="shared" si="4"/>
        <v>0</v>
      </c>
      <c r="L90" s="296"/>
      <c r="M90" s="109"/>
      <c r="N90" s="76">
        <f t="shared" si="5"/>
        <v>0</v>
      </c>
      <c r="O90" s="109"/>
      <c r="P90" s="109"/>
      <c r="Q90" s="76">
        <f t="shared" si="6"/>
        <v>0</v>
      </c>
    </row>
    <row r="91" spans="3:17" ht="13.5">
      <c r="C91" s="142"/>
      <c r="D91" s="765" t="s">
        <v>854</v>
      </c>
      <c r="E91" s="109"/>
      <c r="F91" s="296" t="s">
        <v>686</v>
      </c>
      <c r="G91" s="72">
        <v>1</v>
      </c>
      <c r="H91" s="72">
        <v>2009</v>
      </c>
      <c r="I91" s="72">
        <v>69.661</v>
      </c>
      <c r="J91" s="109">
        <f t="shared" si="3"/>
        <v>100</v>
      </c>
      <c r="K91" s="109">
        <f t="shared" si="4"/>
        <v>0</v>
      </c>
      <c r="L91" s="296"/>
      <c r="M91" s="109"/>
      <c r="N91" s="76">
        <f t="shared" si="5"/>
        <v>0</v>
      </c>
      <c r="O91" s="109"/>
      <c r="P91" s="109"/>
      <c r="Q91" s="76">
        <f t="shared" si="6"/>
        <v>0</v>
      </c>
    </row>
    <row r="92" spans="3:17" ht="13.5">
      <c r="C92" s="142"/>
      <c r="D92" s="765" t="s">
        <v>854</v>
      </c>
      <c r="E92" s="109"/>
      <c r="F92" s="296" t="s">
        <v>686</v>
      </c>
      <c r="G92" s="72">
        <v>1</v>
      </c>
      <c r="H92" s="72">
        <v>2009</v>
      </c>
      <c r="I92" s="72">
        <v>69.661</v>
      </c>
      <c r="J92" s="109">
        <f t="shared" si="3"/>
        <v>100</v>
      </c>
      <c r="K92" s="109">
        <f t="shared" si="4"/>
        <v>0</v>
      </c>
      <c r="L92" s="296"/>
      <c r="M92" s="109"/>
      <c r="N92" s="76">
        <f t="shared" si="5"/>
        <v>0</v>
      </c>
      <c r="O92" s="109"/>
      <c r="P92" s="109"/>
      <c r="Q92" s="76">
        <f t="shared" si="6"/>
        <v>0</v>
      </c>
    </row>
    <row r="93" spans="3:17" ht="13.5">
      <c r="C93" s="142"/>
      <c r="D93" s="801" t="s">
        <v>855</v>
      </c>
      <c r="E93" s="109"/>
      <c r="F93" s="296" t="s">
        <v>686</v>
      </c>
      <c r="G93" s="72">
        <v>5</v>
      </c>
      <c r="H93" s="72">
        <v>2017</v>
      </c>
      <c r="I93" s="72">
        <v>1380</v>
      </c>
      <c r="J93" s="109">
        <f t="shared" si="3"/>
        <v>85.80000000000001</v>
      </c>
      <c r="K93" s="109">
        <f t="shared" si="4"/>
        <v>195.9599999999998</v>
      </c>
      <c r="L93" s="296"/>
      <c r="M93" s="109"/>
      <c r="N93" s="76">
        <f t="shared" si="5"/>
        <v>0</v>
      </c>
      <c r="O93" s="109"/>
      <c r="P93" s="109"/>
      <c r="Q93" s="76">
        <f t="shared" si="6"/>
        <v>0</v>
      </c>
    </row>
    <row r="94" spans="3:17" ht="13.5">
      <c r="C94" s="142"/>
      <c r="D94" s="756" t="s">
        <v>864</v>
      </c>
      <c r="E94" s="109"/>
      <c r="F94" s="296" t="s">
        <v>686</v>
      </c>
      <c r="G94" s="72">
        <v>1</v>
      </c>
      <c r="H94" s="72">
        <v>2008</v>
      </c>
      <c r="I94" s="72">
        <v>545.6</v>
      </c>
      <c r="J94" s="109">
        <f t="shared" si="3"/>
        <v>100</v>
      </c>
      <c r="K94" s="109">
        <f t="shared" si="4"/>
        <v>0</v>
      </c>
      <c r="L94" s="296"/>
      <c r="M94" s="109"/>
      <c r="N94" s="76">
        <f t="shared" si="5"/>
        <v>0</v>
      </c>
      <c r="O94" s="109"/>
      <c r="P94" s="109"/>
      <c r="Q94" s="76">
        <f t="shared" si="6"/>
        <v>0</v>
      </c>
    </row>
    <row r="95" spans="3:17" ht="27">
      <c r="C95" s="142"/>
      <c r="D95" s="781" t="s">
        <v>859</v>
      </c>
      <c r="E95" s="109"/>
      <c r="F95" s="296" t="s">
        <v>686</v>
      </c>
      <c r="G95" s="72">
        <v>1</v>
      </c>
      <c r="H95" s="72">
        <v>2008</v>
      </c>
      <c r="I95" s="72">
        <v>270.6</v>
      </c>
      <c r="J95" s="109">
        <f t="shared" si="3"/>
        <v>100</v>
      </c>
      <c r="K95" s="109">
        <f aca="true" t="shared" si="7" ref="K95:K147">IF(J95=100,0,I95-I95*J95%)</f>
        <v>0</v>
      </c>
      <c r="L95" s="296"/>
      <c r="M95" s="109"/>
      <c r="N95" s="76">
        <f t="shared" si="5"/>
        <v>0</v>
      </c>
      <c r="O95" s="109"/>
      <c r="P95" s="109"/>
      <c r="Q95" s="76">
        <f t="shared" si="6"/>
        <v>0</v>
      </c>
    </row>
    <row r="96" spans="3:17" ht="13.5">
      <c r="C96" s="142"/>
      <c r="D96" s="756" t="s">
        <v>865</v>
      </c>
      <c r="E96" s="109"/>
      <c r="F96" s="296" t="s">
        <v>686</v>
      </c>
      <c r="G96" s="72">
        <v>1</v>
      </c>
      <c r="H96" s="72">
        <v>2008</v>
      </c>
      <c r="I96" s="72">
        <v>360</v>
      </c>
      <c r="J96" s="109">
        <f t="shared" si="3"/>
        <v>100</v>
      </c>
      <c r="K96" s="109">
        <f t="shared" si="7"/>
        <v>0</v>
      </c>
      <c r="L96" s="296"/>
      <c r="M96" s="109"/>
      <c r="N96" s="76">
        <f t="shared" si="5"/>
        <v>0</v>
      </c>
      <c r="O96" s="109"/>
      <c r="P96" s="109"/>
      <c r="Q96" s="76">
        <f t="shared" si="6"/>
        <v>0</v>
      </c>
    </row>
    <row r="97" spans="3:17" ht="13.5">
      <c r="C97" s="142"/>
      <c r="D97" s="756" t="s">
        <v>866</v>
      </c>
      <c r="E97" s="109"/>
      <c r="F97" s="296" t="s">
        <v>686</v>
      </c>
      <c r="G97" s="72">
        <v>2</v>
      </c>
      <c r="H97" s="72">
        <v>2008</v>
      </c>
      <c r="I97" s="72">
        <v>330</v>
      </c>
      <c r="J97" s="109">
        <f t="shared" si="3"/>
        <v>100</v>
      </c>
      <c r="K97" s="109">
        <f t="shared" si="7"/>
        <v>0</v>
      </c>
      <c r="L97" s="296"/>
      <c r="M97" s="109"/>
      <c r="N97" s="76">
        <f t="shared" si="5"/>
        <v>0</v>
      </c>
      <c r="O97" s="109"/>
      <c r="P97" s="109"/>
      <c r="Q97" s="76">
        <f t="shared" si="6"/>
        <v>0</v>
      </c>
    </row>
    <row r="98" spans="3:17" ht="13.5">
      <c r="C98" s="142"/>
      <c r="D98" s="756" t="s">
        <v>867</v>
      </c>
      <c r="E98" s="109"/>
      <c r="F98" s="296" t="s">
        <v>686</v>
      </c>
      <c r="G98" s="72">
        <v>1</v>
      </c>
      <c r="H98" s="72">
        <v>2008</v>
      </c>
      <c r="I98" s="72">
        <v>1481.9</v>
      </c>
      <c r="J98" s="109">
        <f t="shared" si="3"/>
        <v>100</v>
      </c>
      <c r="K98" s="109">
        <f t="shared" si="7"/>
        <v>0</v>
      </c>
      <c r="L98" s="296"/>
      <c r="M98" s="109"/>
      <c r="N98" s="76">
        <f t="shared" si="5"/>
        <v>0</v>
      </c>
      <c r="O98" s="109"/>
      <c r="P98" s="109"/>
      <c r="Q98" s="76">
        <f t="shared" si="6"/>
        <v>0</v>
      </c>
    </row>
    <row r="99" spans="3:17" ht="13.5">
      <c r="C99" s="142"/>
      <c r="D99" s="765" t="s">
        <v>868</v>
      </c>
      <c r="E99" s="109"/>
      <c r="F99" s="296" t="s">
        <v>686</v>
      </c>
      <c r="G99" s="72">
        <v>7</v>
      </c>
      <c r="H99" s="72">
        <v>2004</v>
      </c>
      <c r="I99" s="72">
        <v>331.7</v>
      </c>
      <c r="J99" s="109">
        <f t="shared" si="3"/>
        <v>100</v>
      </c>
      <c r="K99" s="109">
        <f t="shared" si="7"/>
        <v>0</v>
      </c>
      <c r="L99" s="296"/>
      <c r="M99" s="109"/>
      <c r="N99" s="76">
        <f t="shared" si="5"/>
        <v>0</v>
      </c>
      <c r="O99" s="109"/>
      <c r="P99" s="109"/>
      <c r="Q99" s="76">
        <f t="shared" si="6"/>
        <v>0</v>
      </c>
    </row>
    <row r="100" spans="3:17" ht="13.5">
      <c r="C100" s="142"/>
      <c r="D100" s="765" t="s">
        <v>869</v>
      </c>
      <c r="E100" s="109"/>
      <c r="F100" s="296" t="s">
        <v>686</v>
      </c>
      <c r="G100" s="72">
        <v>1</v>
      </c>
      <c r="H100" s="72">
        <v>2004</v>
      </c>
      <c r="I100" s="72">
        <v>215.9</v>
      </c>
      <c r="J100" s="109">
        <f t="shared" si="3"/>
        <v>100</v>
      </c>
      <c r="K100" s="109">
        <f t="shared" si="7"/>
        <v>0</v>
      </c>
      <c r="L100" s="296"/>
      <c r="M100" s="109"/>
      <c r="N100" s="76">
        <f t="shared" si="5"/>
        <v>0</v>
      </c>
      <c r="O100" s="109"/>
      <c r="P100" s="109"/>
      <c r="Q100" s="76">
        <f t="shared" si="6"/>
        <v>0</v>
      </c>
    </row>
    <row r="101" spans="3:17" ht="13.5">
      <c r="C101" s="142"/>
      <c r="D101" s="756" t="s">
        <v>870</v>
      </c>
      <c r="E101" s="109"/>
      <c r="F101" s="296" t="s">
        <v>686</v>
      </c>
      <c r="G101" s="72">
        <v>9</v>
      </c>
      <c r="H101" s="72">
        <v>1981</v>
      </c>
      <c r="I101" s="72">
        <v>3.879</v>
      </c>
      <c r="J101" s="109">
        <f t="shared" si="3"/>
        <v>100</v>
      </c>
      <c r="K101" s="109">
        <f t="shared" si="7"/>
        <v>0</v>
      </c>
      <c r="L101" s="296"/>
      <c r="M101" s="109"/>
      <c r="N101" s="76">
        <f t="shared" si="5"/>
        <v>0</v>
      </c>
      <c r="O101" s="109"/>
      <c r="P101" s="109"/>
      <c r="Q101" s="76">
        <f t="shared" si="6"/>
        <v>0</v>
      </c>
    </row>
    <row r="102" spans="3:17" ht="13.5">
      <c r="C102" s="142"/>
      <c r="D102" s="765" t="s">
        <v>871</v>
      </c>
      <c r="E102" s="109"/>
      <c r="F102" s="296" t="s">
        <v>686</v>
      </c>
      <c r="G102" s="72">
        <v>2</v>
      </c>
      <c r="H102" s="72">
        <v>2004</v>
      </c>
      <c r="I102" s="72">
        <v>47.8</v>
      </c>
      <c r="J102" s="109">
        <f t="shared" si="3"/>
        <v>100</v>
      </c>
      <c r="K102" s="109">
        <f t="shared" si="7"/>
        <v>0</v>
      </c>
      <c r="L102" s="296"/>
      <c r="M102" s="109"/>
      <c r="N102" s="76">
        <f t="shared" si="5"/>
        <v>0</v>
      </c>
      <c r="O102" s="109"/>
      <c r="P102" s="109"/>
      <c r="Q102" s="76">
        <f t="shared" si="6"/>
        <v>0</v>
      </c>
    </row>
    <row r="103" spans="3:17" ht="13.5">
      <c r="C103" s="142"/>
      <c r="D103" s="765" t="s">
        <v>872</v>
      </c>
      <c r="E103" s="109"/>
      <c r="F103" s="296" t="s">
        <v>686</v>
      </c>
      <c r="G103" s="72">
        <v>1</v>
      </c>
      <c r="H103" s="72">
        <v>2004</v>
      </c>
      <c r="I103" s="72">
        <v>46.2</v>
      </c>
      <c r="J103" s="109">
        <f t="shared" si="3"/>
        <v>100</v>
      </c>
      <c r="K103" s="109">
        <f t="shared" si="7"/>
        <v>0</v>
      </c>
      <c r="L103" s="296"/>
      <c r="M103" s="109"/>
      <c r="N103" s="76">
        <f t="shared" si="5"/>
        <v>0</v>
      </c>
      <c r="O103" s="109"/>
      <c r="P103" s="109"/>
      <c r="Q103" s="76">
        <f t="shared" si="6"/>
        <v>0</v>
      </c>
    </row>
    <row r="104" spans="3:17" ht="13.5">
      <c r="C104" s="142"/>
      <c r="D104" s="765" t="s">
        <v>871</v>
      </c>
      <c r="E104" s="109"/>
      <c r="F104" s="296" t="s">
        <v>686</v>
      </c>
      <c r="G104" s="72">
        <v>1</v>
      </c>
      <c r="H104" s="72">
        <v>2004</v>
      </c>
      <c r="I104" s="72">
        <v>23.9</v>
      </c>
      <c r="J104" s="109">
        <f t="shared" si="3"/>
        <v>100</v>
      </c>
      <c r="K104" s="109">
        <f t="shared" si="7"/>
        <v>0</v>
      </c>
      <c r="L104" s="296"/>
      <c r="M104" s="109"/>
      <c r="N104" s="76">
        <f t="shared" si="5"/>
        <v>0</v>
      </c>
      <c r="O104" s="109"/>
      <c r="P104" s="109"/>
      <c r="Q104" s="76">
        <f t="shared" si="6"/>
        <v>0</v>
      </c>
    </row>
    <row r="105" spans="3:17" ht="13.5">
      <c r="C105" s="142"/>
      <c r="D105" s="765" t="s">
        <v>872</v>
      </c>
      <c r="E105" s="109"/>
      <c r="F105" s="296" t="s">
        <v>686</v>
      </c>
      <c r="G105" s="72">
        <v>1</v>
      </c>
      <c r="H105" s="72">
        <v>2004</v>
      </c>
      <c r="I105" s="72">
        <v>46.2</v>
      </c>
      <c r="J105" s="109">
        <f t="shared" si="3"/>
        <v>100</v>
      </c>
      <c r="K105" s="109">
        <f t="shared" si="7"/>
        <v>0</v>
      </c>
      <c r="L105" s="296"/>
      <c r="M105" s="109"/>
      <c r="N105" s="76">
        <f t="shared" si="5"/>
        <v>0</v>
      </c>
      <c r="O105" s="109"/>
      <c r="P105" s="109"/>
      <c r="Q105" s="76">
        <f t="shared" si="6"/>
        <v>0</v>
      </c>
    </row>
    <row r="106" spans="3:17" ht="13.5">
      <c r="C106" s="142"/>
      <c r="D106" s="765" t="s">
        <v>871</v>
      </c>
      <c r="E106" s="109"/>
      <c r="F106" s="296" t="s">
        <v>686</v>
      </c>
      <c r="G106" s="72">
        <v>1</v>
      </c>
      <c r="H106" s="72">
        <v>2004</v>
      </c>
      <c r="I106" s="72">
        <v>23.9</v>
      </c>
      <c r="J106" s="109">
        <f t="shared" si="3"/>
        <v>100</v>
      </c>
      <c r="K106" s="109">
        <f t="shared" si="7"/>
        <v>0</v>
      </c>
      <c r="L106" s="296"/>
      <c r="M106" s="109"/>
      <c r="N106" s="76">
        <f t="shared" si="5"/>
        <v>0</v>
      </c>
      <c r="O106" s="109"/>
      <c r="P106" s="109"/>
      <c r="Q106" s="76">
        <f t="shared" si="6"/>
        <v>0</v>
      </c>
    </row>
    <row r="107" spans="3:17" ht="13.5">
      <c r="C107" s="142"/>
      <c r="D107" s="765" t="s">
        <v>872</v>
      </c>
      <c r="E107" s="109"/>
      <c r="F107" s="296" t="s">
        <v>686</v>
      </c>
      <c r="G107" s="72">
        <v>1</v>
      </c>
      <c r="H107" s="72">
        <v>2004</v>
      </c>
      <c r="I107" s="72">
        <v>46.2</v>
      </c>
      <c r="J107" s="109">
        <f t="shared" si="3"/>
        <v>100</v>
      </c>
      <c r="K107" s="109">
        <f t="shared" si="7"/>
        <v>0</v>
      </c>
      <c r="L107" s="296"/>
      <c r="M107" s="109"/>
      <c r="N107" s="76">
        <f t="shared" si="5"/>
        <v>0</v>
      </c>
      <c r="O107" s="109"/>
      <c r="P107" s="109"/>
      <c r="Q107" s="76">
        <f t="shared" si="6"/>
        <v>0</v>
      </c>
    </row>
    <row r="108" spans="3:17" ht="13.5">
      <c r="C108" s="142"/>
      <c r="D108" s="765" t="s">
        <v>873</v>
      </c>
      <c r="E108" s="109"/>
      <c r="F108" s="296" t="s">
        <v>686</v>
      </c>
      <c r="G108" s="72">
        <v>1</v>
      </c>
      <c r="H108" s="72">
        <v>2004</v>
      </c>
      <c r="I108" s="72">
        <v>46.2</v>
      </c>
      <c r="J108" s="109">
        <f t="shared" si="3"/>
        <v>100</v>
      </c>
      <c r="K108" s="109">
        <f t="shared" si="7"/>
        <v>0</v>
      </c>
      <c r="L108" s="296"/>
      <c r="M108" s="109"/>
      <c r="N108" s="76">
        <f t="shared" si="5"/>
        <v>0</v>
      </c>
      <c r="O108" s="109"/>
      <c r="P108" s="109"/>
      <c r="Q108" s="76">
        <f t="shared" si="6"/>
        <v>0</v>
      </c>
    </row>
    <row r="109" spans="3:17" ht="13.5">
      <c r="C109" s="142"/>
      <c r="D109" s="765" t="s">
        <v>871</v>
      </c>
      <c r="E109" s="109"/>
      <c r="F109" s="296" t="s">
        <v>686</v>
      </c>
      <c r="G109" s="72">
        <v>1</v>
      </c>
      <c r="H109" s="72">
        <v>2004</v>
      </c>
      <c r="I109" s="72">
        <v>23.9</v>
      </c>
      <c r="J109" s="109">
        <f t="shared" si="3"/>
        <v>100</v>
      </c>
      <c r="K109" s="109">
        <f t="shared" si="7"/>
        <v>0</v>
      </c>
      <c r="L109" s="296"/>
      <c r="M109" s="109"/>
      <c r="N109" s="76">
        <f t="shared" si="5"/>
        <v>0</v>
      </c>
      <c r="O109" s="109"/>
      <c r="P109" s="109"/>
      <c r="Q109" s="76">
        <f t="shared" si="6"/>
        <v>0</v>
      </c>
    </row>
    <row r="110" spans="3:17" ht="13.5">
      <c r="C110" s="142"/>
      <c r="D110" s="765" t="s">
        <v>872</v>
      </c>
      <c r="E110" s="109"/>
      <c r="F110" s="296" t="s">
        <v>686</v>
      </c>
      <c r="G110" s="72">
        <v>1</v>
      </c>
      <c r="H110" s="72">
        <v>2004</v>
      </c>
      <c r="I110" s="72">
        <v>46.2</v>
      </c>
      <c r="J110" s="109">
        <f t="shared" si="3"/>
        <v>100</v>
      </c>
      <c r="K110" s="109">
        <f t="shared" si="7"/>
        <v>0</v>
      </c>
      <c r="L110" s="296"/>
      <c r="M110" s="109"/>
      <c r="N110" s="76">
        <f t="shared" si="5"/>
        <v>0</v>
      </c>
      <c r="O110" s="109"/>
      <c r="P110" s="109"/>
      <c r="Q110" s="76">
        <f t="shared" si="6"/>
        <v>0</v>
      </c>
    </row>
    <row r="111" spans="3:17" ht="13.5">
      <c r="C111" s="142"/>
      <c r="D111" s="765" t="s">
        <v>871</v>
      </c>
      <c r="E111" s="109"/>
      <c r="F111" s="296" t="s">
        <v>686</v>
      </c>
      <c r="G111" s="72">
        <v>1</v>
      </c>
      <c r="H111" s="72">
        <v>2004</v>
      </c>
      <c r="I111" s="72">
        <v>23.9</v>
      </c>
      <c r="J111" s="109">
        <f t="shared" si="3"/>
        <v>100</v>
      </c>
      <c r="K111" s="109">
        <f t="shared" si="7"/>
        <v>0</v>
      </c>
      <c r="L111" s="296"/>
      <c r="M111" s="109"/>
      <c r="N111" s="76">
        <f t="shared" si="5"/>
        <v>0</v>
      </c>
      <c r="O111" s="109"/>
      <c r="P111" s="109"/>
      <c r="Q111" s="76">
        <f t="shared" si="6"/>
        <v>0</v>
      </c>
    </row>
    <row r="112" spans="3:17" ht="13.5">
      <c r="C112" s="142"/>
      <c r="D112" s="765" t="s">
        <v>872</v>
      </c>
      <c r="E112" s="109"/>
      <c r="F112" s="296" t="s">
        <v>686</v>
      </c>
      <c r="G112" s="72">
        <v>1</v>
      </c>
      <c r="H112" s="72">
        <v>2004</v>
      </c>
      <c r="I112" s="72">
        <v>46.2</v>
      </c>
      <c r="J112" s="109">
        <f t="shared" si="3"/>
        <v>100</v>
      </c>
      <c r="K112" s="109">
        <f t="shared" si="7"/>
        <v>0</v>
      </c>
      <c r="L112" s="296"/>
      <c r="M112" s="109"/>
      <c r="N112" s="76">
        <f t="shared" si="5"/>
        <v>0</v>
      </c>
      <c r="O112" s="109"/>
      <c r="P112" s="109"/>
      <c r="Q112" s="76">
        <f t="shared" si="6"/>
        <v>0</v>
      </c>
    </row>
    <row r="113" spans="3:17" ht="13.5">
      <c r="C113" s="142"/>
      <c r="D113" s="765" t="s">
        <v>871</v>
      </c>
      <c r="E113" s="109"/>
      <c r="F113" s="296" t="s">
        <v>686</v>
      </c>
      <c r="G113" s="72">
        <v>1</v>
      </c>
      <c r="H113" s="72">
        <v>2004</v>
      </c>
      <c r="I113" s="72">
        <v>23.9</v>
      </c>
      <c r="J113" s="109">
        <f t="shared" si="3"/>
        <v>100</v>
      </c>
      <c r="K113" s="109">
        <f t="shared" si="7"/>
        <v>0</v>
      </c>
      <c r="L113" s="296"/>
      <c r="M113" s="109"/>
      <c r="N113" s="76">
        <f t="shared" si="5"/>
        <v>0</v>
      </c>
      <c r="O113" s="109"/>
      <c r="P113" s="109"/>
      <c r="Q113" s="76">
        <f t="shared" si="6"/>
        <v>0</v>
      </c>
    </row>
    <row r="114" spans="3:17" ht="13.5">
      <c r="C114" s="142"/>
      <c r="D114" s="765" t="s">
        <v>872</v>
      </c>
      <c r="E114" s="109"/>
      <c r="F114" s="296" t="s">
        <v>686</v>
      </c>
      <c r="G114" s="72">
        <v>1</v>
      </c>
      <c r="H114" s="72">
        <v>2004</v>
      </c>
      <c r="I114" s="72">
        <v>46.2</v>
      </c>
      <c r="J114" s="109">
        <f t="shared" si="3"/>
        <v>100</v>
      </c>
      <c r="K114" s="109">
        <f t="shared" si="7"/>
        <v>0</v>
      </c>
      <c r="L114" s="296"/>
      <c r="M114" s="109"/>
      <c r="N114" s="76">
        <f t="shared" si="5"/>
        <v>0</v>
      </c>
      <c r="O114" s="109"/>
      <c r="P114" s="109"/>
      <c r="Q114" s="76">
        <f t="shared" si="6"/>
        <v>0</v>
      </c>
    </row>
    <row r="115" spans="3:17" ht="13.5">
      <c r="C115" s="142"/>
      <c r="D115" s="765" t="s">
        <v>871</v>
      </c>
      <c r="E115" s="109"/>
      <c r="F115" s="296" t="s">
        <v>686</v>
      </c>
      <c r="G115" s="72">
        <v>1</v>
      </c>
      <c r="H115" s="72">
        <v>2004</v>
      </c>
      <c r="I115" s="72">
        <v>23.9</v>
      </c>
      <c r="J115" s="109">
        <f t="shared" si="3"/>
        <v>100</v>
      </c>
      <c r="K115" s="109">
        <f t="shared" si="7"/>
        <v>0</v>
      </c>
      <c r="L115" s="296"/>
      <c r="M115" s="109"/>
      <c r="N115" s="76">
        <f t="shared" si="5"/>
        <v>0</v>
      </c>
      <c r="O115" s="109"/>
      <c r="P115" s="109"/>
      <c r="Q115" s="76">
        <f t="shared" si="6"/>
        <v>0</v>
      </c>
    </row>
    <row r="116" spans="3:17" ht="13.5">
      <c r="C116" s="142"/>
      <c r="D116" s="765" t="s">
        <v>872</v>
      </c>
      <c r="E116" s="109"/>
      <c r="F116" s="296" t="s">
        <v>686</v>
      </c>
      <c r="G116" s="72">
        <v>1</v>
      </c>
      <c r="H116" s="72">
        <v>2004</v>
      </c>
      <c r="I116" s="72">
        <v>46.2</v>
      </c>
      <c r="J116" s="109">
        <f aca="true" t="shared" si="8" ref="J116:J147">IF(($J$14-H116)*J$82&gt;100,100,($J$14-H116)*J$82)</f>
        <v>100</v>
      </c>
      <c r="K116" s="109">
        <f t="shared" si="7"/>
        <v>0</v>
      </c>
      <c r="L116" s="296"/>
      <c r="M116" s="109"/>
      <c r="N116" s="76">
        <f t="shared" si="5"/>
        <v>0</v>
      </c>
      <c r="O116" s="109"/>
      <c r="P116" s="109"/>
      <c r="Q116" s="76">
        <f t="shared" si="6"/>
        <v>0</v>
      </c>
    </row>
    <row r="117" spans="3:17" ht="13.5">
      <c r="C117" s="142"/>
      <c r="D117" s="765" t="s">
        <v>871</v>
      </c>
      <c r="E117" s="109"/>
      <c r="F117" s="296" t="s">
        <v>686</v>
      </c>
      <c r="G117" s="72">
        <v>1</v>
      </c>
      <c r="H117" s="72">
        <v>2004</v>
      </c>
      <c r="I117" s="72">
        <v>23.9</v>
      </c>
      <c r="J117" s="109">
        <f t="shared" si="8"/>
        <v>100</v>
      </c>
      <c r="K117" s="109">
        <f t="shared" si="7"/>
        <v>0</v>
      </c>
      <c r="L117" s="296"/>
      <c r="M117" s="109"/>
      <c r="N117" s="76">
        <f t="shared" si="5"/>
        <v>0</v>
      </c>
      <c r="O117" s="109"/>
      <c r="P117" s="109"/>
      <c r="Q117" s="76">
        <f t="shared" si="6"/>
        <v>0</v>
      </c>
    </row>
    <row r="118" spans="3:17" ht="13.5">
      <c r="C118" s="142"/>
      <c r="D118" s="765" t="s">
        <v>872</v>
      </c>
      <c r="E118" s="109"/>
      <c r="F118" s="296" t="s">
        <v>686</v>
      </c>
      <c r="G118" s="72">
        <v>1</v>
      </c>
      <c r="H118" s="72">
        <v>2004</v>
      </c>
      <c r="I118" s="72">
        <v>46.2</v>
      </c>
      <c r="J118" s="109">
        <f t="shared" si="8"/>
        <v>100</v>
      </c>
      <c r="K118" s="109">
        <f t="shared" si="7"/>
        <v>0</v>
      </c>
      <c r="L118" s="296"/>
      <c r="M118" s="109"/>
      <c r="N118" s="76">
        <f t="shared" si="5"/>
        <v>0</v>
      </c>
      <c r="O118" s="109"/>
      <c r="P118" s="109"/>
      <c r="Q118" s="76">
        <f t="shared" si="6"/>
        <v>0</v>
      </c>
    </row>
    <row r="119" spans="3:17" ht="13.5">
      <c r="C119" s="142"/>
      <c r="D119" s="765" t="s">
        <v>871</v>
      </c>
      <c r="E119" s="109"/>
      <c r="F119" s="296" t="s">
        <v>686</v>
      </c>
      <c r="G119" s="72">
        <v>1</v>
      </c>
      <c r="H119" s="72">
        <v>2004</v>
      </c>
      <c r="I119" s="72">
        <v>23.9</v>
      </c>
      <c r="J119" s="109">
        <f t="shared" si="8"/>
        <v>100</v>
      </c>
      <c r="K119" s="109">
        <f t="shared" si="7"/>
        <v>0</v>
      </c>
      <c r="L119" s="296"/>
      <c r="M119" s="109"/>
      <c r="N119" s="76">
        <f t="shared" si="5"/>
        <v>0</v>
      </c>
      <c r="O119" s="109"/>
      <c r="P119" s="109"/>
      <c r="Q119" s="76">
        <f t="shared" si="6"/>
        <v>0</v>
      </c>
    </row>
    <row r="120" spans="3:17" ht="13.5">
      <c r="C120" s="142"/>
      <c r="D120" s="765" t="s">
        <v>872</v>
      </c>
      <c r="E120" s="109"/>
      <c r="F120" s="296" t="s">
        <v>686</v>
      </c>
      <c r="G120" s="72">
        <v>1</v>
      </c>
      <c r="H120" s="72">
        <v>2004</v>
      </c>
      <c r="I120" s="72">
        <v>46.2</v>
      </c>
      <c r="J120" s="109">
        <f t="shared" si="8"/>
        <v>100</v>
      </c>
      <c r="K120" s="109">
        <f t="shared" si="7"/>
        <v>0</v>
      </c>
      <c r="L120" s="296"/>
      <c r="M120" s="109"/>
      <c r="N120" s="76">
        <f t="shared" si="5"/>
        <v>0</v>
      </c>
      <c r="O120" s="109"/>
      <c r="P120" s="109"/>
      <c r="Q120" s="76">
        <f t="shared" si="6"/>
        <v>0</v>
      </c>
    </row>
    <row r="121" spans="3:17" ht="13.5">
      <c r="C121" s="142"/>
      <c r="D121" s="765" t="s">
        <v>871</v>
      </c>
      <c r="E121" s="109"/>
      <c r="F121" s="296" t="s">
        <v>686</v>
      </c>
      <c r="G121" s="72">
        <v>1</v>
      </c>
      <c r="H121" s="72">
        <v>2004</v>
      </c>
      <c r="I121" s="72">
        <v>23.9</v>
      </c>
      <c r="J121" s="109">
        <f t="shared" si="8"/>
        <v>100</v>
      </c>
      <c r="K121" s="109">
        <f t="shared" si="7"/>
        <v>0</v>
      </c>
      <c r="L121" s="296"/>
      <c r="M121" s="109"/>
      <c r="N121" s="76">
        <f t="shared" si="5"/>
        <v>0</v>
      </c>
      <c r="O121" s="109"/>
      <c r="P121" s="109"/>
      <c r="Q121" s="76">
        <f t="shared" si="6"/>
        <v>0</v>
      </c>
    </row>
    <row r="122" spans="3:17" ht="13.5">
      <c r="C122" s="142"/>
      <c r="D122" s="765" t="s">
        <v>872</v>
      </c>
      <c r="E122" s="109"/>
      <c r="F122" s="296" t="s">
        <v>686</v>
      </c>
      <c r="G122" s="72">
        <v>1</v>
      </c>
      <c r="H122" s="72">
        <v>2004</v>
      </c>
      <c r="I122" s="72">
        <v>46.2</v>
      </c>
      <c r="J122" s="109">
        <f t="shared" si="8"/>
        <v>100</v>
      </c>
      <c r="K122" s="109">
        <f t="shared" si="7"/>
        <v>0</v>
      </c>
      <c r="L122" s="296"/>
      <c r="M122" s="109"/>
      <c r="N122" s="76">
        <f t="shared" si="5"/>
        <v>0</v>
      </c>
      <c r="O122" s="109"/>
      <c r="P122" s="109"/>
      <c r="Q122" s="76">
        <f t="shared" si="6"/>
        <v>0</v>
      </c>
    </row>
    <row r="123" spans="3:17" ht="13.5">
      <c r="C123" s="142"/>
      <c r="D123" s="765" t="s">
        <v>871</v>
      </c>
      <c r="E123" s="109"/>
      <c r="F123" s="296" t="s">
        <v>686</v>
      </c>
      <c r="G123" s="72">
        <v>1</v>
      </c>
      <c r="H123" s="72">
        <v>2004</v>
      </c>
      <c r="I123" s="72">
        <v>23.9</v>
      </c>
      <c r="J123" s="109">
        <f t="shared" si="8"/>
        <v>100</v>
      </c>
      <c r="K123" s="109">
        <f t="shared" si="7"/>
        <v>0</v>
      </c>
      <c r="L123" s="296"/>
      <c r="M123" s="109"/>
      <c r="N123" s="76">
        <f t="shared" si="5"/>
        <v>0</v>
      </c>
      <c r="O123" s="109"/>
      <c r="P123" s="109"/>
      <c r="Q123" s="76">
        <f t="shared" si="6"/>
        <v>0</v>
      </c>
    </row>
    <row r="124" spans="3:17" ht="13.5">
      <c r="C124" s="142"/>
      <c r="D124" s="765" t="s">
        <v>871</v>
      </c>
      <c r="E124" s="109"/>
      <c r="F124" s="296" t="s">
        <v>686</v>
      </c>
      <c r="G124" s="72">
        <v>4</v>
      </c>
      <c r="H124" s="72">
        <v>2004</v>
      </c>
      <c r="I124" s="72">
        <v>95.6</v>
      </c>
      <c r="J124" s="109">
        <f t="shared" si="8"/>
        <v>100</v>
      </c>
      <c r="K124" s="109">
        <f t="shared" si="7"/>
        <v>0</v>
      </c>
      <c r="L124" s="296"/>
      <c r="M124" s="109"/>
      <c r="N124" s="76">
        <f t="shared" si="5"/>
        <v>0</v>
      </c>
      <c r="O124" s="109"/>
      <c r="P124" s="109"/>
      <c r="Q124" s="76">
        <f t="shared" si="6"/>
        <v>0</v>
      </c>
    </row>
    <row r="125" spans="3:17" ht="13.5">
      <c r="C125" s="142"/>
      <c r="D125" s="765" t="s">
        <v>872</v>
      </c>
      <c r="E125" s="109"/>
      <c r="F125" s="296" t="s">
        <v>686</v>
      </c>
      <c r="G125" s="72">
        <v>4</v>
      </c>
      <c r="H125" s="72">
        <v>2004</v>
      </c>
      <c r="I125" s="72">
        <v>184.8</v>
      </c>
      <c r="J125" s="109">
        <f t="shared" si="8"/>
        <v>100</v>
      </c>
      <c r="K125" s="109">
        <f t="shared" si="7"/>
        <v>0</v>
      </c>
      <c r="L125" s="296"/>
      <c r="M125" s="109"/>
      <c r="N125" s="76">
        <f t="shared" si="5"/>
        <v>0</v>
      </c>
      <c r="O125" s="109"/>
      <c r="P125" s="109"/>
      <c r="Q125" s="76">
        <f t="shared" si="6"/>
        <v>0</v>
      </c>
    </row>
    <row r="126" spans="3:17" ht="13.5">
      <c r="C126" s="142"/>
      <c r="D126" s="765" t="s">
        <v>871</v>
      </c>
      <c r="E126" s="109"/>
      <c r="F126" s="296" t="s">
        <v>686</v>
      </c>
      <c r="G126" s="72">
        <v>2</v>
      </c>
      <c r="H126" s="72">
        <v>2004</v>
      </c>
      <c r="I126" s="72">
        <v>47.8</v>
      </c>
      <c r="J126" s="109">
        <f t="shared" si="8"/>
        <v>100</v>
      </c>
      <c r="K126" s="109">
        <f t="shared" si="7"/>
        <v>0</v>
      </c>
      <c r="L126" s="296"/>
      <c r="M126" s="109"/>
      <c r="N126" s="76">
        <f t="shared" si="5"/>
        <v>0</v>
      </c>
      <c r="O126" s="109"/>
      <c r="P126" s="109"/>
      <c r="Q126" s="76">
        <f t="shared" si="6"/>
        <v>0</v>
      </c>
    </row>
    <row r="127" spans="3:17" ht="13.5">
      <c r="C127" s="142"/>
      <c r="D127" s="765" t="s">
        <v>872</v>
      </c>
      <c r="E127" s="109"/>
      <c r="F127" s="296" t="s">
        <v>686</v>
      </c>
      <c r="G127" s="72">
        <v>2</v>
      </c>
      <c r="H127" s="72">
        <v>2004</v>
      </c>
      <c r="I127" s="72">
        <v>92.4</v>
      </c>
      <c r="J127" s="109">
        <f t="shared" si="8"/>
        <v>100</v>
      </c>
      <c r="K127" s="109">
        <f t="shared" si="7"/>
        <v>0</v>
      </c>
      <c r="L127" s="296"/>
      <c r="M127" s="109"/>
      <c r="N127" s="76">
        <f t="shared" si="5"/>
        <v>0</v>
      </c>
      <c r="O127" s="109"/>
      <c r="P127" s="109"/>
      <c r="Q127" s="76">
        <f t="shared" si="6"/>
        <v>0</v>
      </c>
    </row>
    <row r="128" spans="3:17" ht="13.5">
      <c r="C128" s="142"/>
      <c r="D128" s="765" t="s">
        <v>871</v>
      </c>
      <c r="E128" s="109"/>
      <c r="F128" s="296" t="s">
        <v>686</v>
      </c>
      <c r="G128" s="72">
        <v>1</v>
      </c>
      <c r="H128" s="72">
        <v>2004</v>
      </c>
      <c r="I128" s="72">
        <v>23.9</v>
      </c>
      <c r="J128" s="109">
        <f t="shared" si="8"/>
        <v>100</v>
      </c>
      <c r="K128" s="109">
        <f t="shared" si="7"/>
        <v>0</v>
      </c>
      <c r="L128" s="296"/>
      <c r="M128" s="109"/>
      <c r="N128" s="76">
        <f t="shared" si="5"/>
        <v>0</v>
      </c>
      <c r="O128" s="109"/>
      <c r="P128" s="109"/>
      <c r="Q128" s="76">
        <f t="shared" si="6"/>
        <v>0</v>
      </c>
    </row>
    <row r="129" spans="3:17" ht="13.5">
      <c r="C129" s="142"/>
      <c r="D129" s="765" t="s">
        <v>874</v>
      </c>
      <c r="E129" s="109"/>
      <c r="F129" s="296" t="s">
        <v>686</v>
      </c>
      <c r="G129" s="72">
        <v>1</v>
      </c>
      <c r="H129" s="72">
        <v>2009</v>
      </c>
      <c r="I129" s="72">
        <v>73.8</v>
      </c>
      <c r="J129" s="109">
        <f t="shared" si="8"/>
        <v>100</v>
      </c>
      <c r="K129" s="109">
        <f t="shared" si="7"/>
        <v>0</v>
      </c>
      <c r="L129" s="296"/>
      <c r="M129" s="109"/>
      <c r="N129" s="76">
        <f t="shared" si="5"/>
        <v>0</v>
      </c>
      <c r="O129" s="109"/>
      <c r="P129" s="109"/>
      <c r="Q129" s="76">
        <f t="shared" si="6"/>
        <v>0</v>
      </c>
    </row>
    <row r="130" spans="3:17" ht="13.5">
      <c r="C130" s="142"/>
      <c r="D130" s="765" t="s">
        <v>875</v>
      </c>
      <c r="E130" s="109"/>
      <c r="F130" s="296" t="s">
        <v>686</v>
      </c>
      <c r="G130" s="72">
        <v>1</v>
      </c>
      <c r="H130" s="72">
        <v>2009</v>
      </c>
      <c r="I130" s="72">
        <v>35.5</v>
      </c>
      <c r="J130" s="109">
        <f t="shared" si="8"/>
        <v>100</v>
      </c>
      <c r="K130" s="109">
        <f t="shared" si="7"/>
        <v>0</v>
      </c>
      <c r="L130" s="296"/>
      <c r="M130" s="109"/>
      <c r="N130" s="76">
        <f t="shared" si="5"/>
        <v>0</v>
      </c>
      <c r="O130" s="109"/>
      <c r="P130" s="109"/>
      <c r="Q130" s="76">
        <f t="shared" si="6"/>
        <v>0</v>
      </c>
    </row>
    <row r="131" spans="3:17" ht="13.5">
      <c r="C131" s="142"/>
      <c r="D131" s="765" t="s">
        <v>876</v>
      </c>
      <c r="E131" s="109"/>
      <c r="F131" s="296" t="s">
        <v>686</v>
      </c>
      <c r="G131" s="72">
        <v>1</v>
      </c>
      <c r="H131" s="72">
        <v>2009</v>
      </c>
      <c r="I131" s="72">
        <v>30.3</v>
      </c>
      <c r="J131" s="109">
        <f t="shared" si="8"/>
        <v>100</v>
      </c>
      <c r="K131" s="109">
        <f t="shared" si="7"/>
        <v>0</v>
      </c>
      <c r="L131" s="296"/>
      <c r="M131" s="109"/>
      <c r="N131" s="76">
        <f t="shared" si="5"/>
        <v>0</v>
      </c>
      <c r="O131" s="109"/>
      <c r="P131" s="109"/>
      <c r="Q131" s="76">
        <f t="shared" si="6"/>
        <v>0</v>
      </c>
    </row>
    <row r="132" spans="3:17" ht="13.5">
      <c r="C132" s="142"/>
      <c r="D132" s="765" t="s">
        <v>877</v>
      </c>
      <c r="E132" s="109"/>
      <c r="F132" s="296" t="s">
        <v>686</v>
      </c>
      <c r="G132" s="72">
        <v>1</v>
      </c>
      <c r="H132" s="72">
        <v>2009</v>
      </c>
      <c r="I132" s="72">
        <v>16.4</v>
      </c>
      <c r="J132" s="109">
        <f t="shared" si="8"/>
        <v>100</v>
      </c>
      <c r="K132" s="109">
        <f t="shared" si="7"/>
        <v>0</v>
      </c>
      <c r="L132" s="296"/>
      <c r="M132" s="109"/>
      <c r="N132" s="76">
        <f t="shared" si="5"/>
        <v>0</v>
      </c>
      <c r="O132" s="109"/>
      <c r="P132" s="109"/>
      <c r="Q132" s="76">
        <f t="shared" si="6"/>
        <v>0</v>
      </c>
    </row>
    <row r="133" spans="3:17" ht="13.5">
      <c r="C133" s="142"/>
      <c r="D133" s="765" t="s">
        <v>876</v>
      </c>
      <c r="E133" s="109"/>
      <c r="F133" s="296" t="s">
        <v>686</v>
      </c>
      <c r="G133" s="72">
        <v>1</v>
      </c>
      <c r="H133" s="72">
        <v>2009</v>
      </c>
      <c r="I133" s="72">
        <v>30.3</v>
      </c>
      <c r="J133" s="109">
        <f t="shared" si="8"/>
        <v>100</v>
      </c>
      <c r="K133" s="109">
        <f t="shared" si="7"/>
        <v>0</v>
      </c>
      <c r="L133" s="296"/>
      <c r="M133" s="109"/>
      <c r="N133" s="76">
        <f t="shared" si="5"/>
        <v>0</v>
      </c>
      <c r="O133" s="109"/>
      <c r="P133" s="109"/>
      <c r="Q133" s="76">
        <f t="shared" si="6"/>
        <v>0</v>
      </c>
    </row>
    <row r="134" spans="3:17" ht="13.5">
      <c r="C134" s="142"/>
      <c r="D134" s="765" t="s">
        <v>877</v>
      </c>
      <c r="E134" s="109"/>
      <c r="F134" s="296" t="s">
        <v>686</v>
      </c>
      <c r="G134" s="72">
        <v>1</v>
      </c>
      <c r="H134" s="72">
        <v>2009</v>
      </c>
      <c r="I134" s="72">
        <v>16.4</v>
      </c>
      <c r="J134" s="109">
        <f t="shared" si="8"/>
        <v>100</v>
      </c>
      <c r="K134" s="109">
        <f t="shared" si="7"/>
        <v>0</v>
      </c>
      <c r="L134" s="296"/>
      <c r="M134" s="109"/>
      <c r="N134" s="76">
        <f t="shared" si="5"/>
        <v>0</v>
      </c>
      <c r="O134" s="109"/>
      <c r="P134" s="109"/>
      <c r="Q134" s="76">
        <f t="shared" si="6"/>
        <v>0</v>
      </c>
    </row>
    <row r="135" spans="3:17" ht="13.5">
      <c r="C135" s="142"/>
      <c r="D135" s="765" t="s">
        <v>878</v>
      </c>
      <c r="E135" s="109"/>
      <c r="F135" s="296" t="s">
        <v>686</v>
      </c>
      <c r="G135" s="72">
        <v>1</v>
      </c>
      <c r="H135" s="72">
        <v>2009</v>
      </c>
      <c r="I135" s="72">
        <v>97.7</v>
      </c>
      <c r="J135" s="109">
        <f t="shared" si="8"/>
        <v>100</v>
      </c>
      <c r="K135" s="109">
        <f t="shared" si="7"/>
        <v>0</v>
      </c>
      <c r="L135" s="296"/>
      <c r="M135" s="109"/>
      <c r="N135" s="76">
        <f t="shared" si="5"/>
        <v>0</v>
      </c>
      <c r="O135" s="109"/>
      <c r="P135" s="109"/>
      <c r="Q135" s="76">
        <f t="shared" si="6"/>
        <v>0</v>
      </c>
    </row>
    <row r="136" spans="3:17" ht="13.5">
      <c r="C136" s="142"/>
      <c r="D136" s="765" t="s">
        <v>877</v>
      </c>
      <c r="E136" s="109"/>
      <c r="F136" s="296" t="s">
        <v>686</v>
      </c>
      <c r="G136" s="72">
        <v>1</v>
      </c>
      <c r="H136" s="72">
        <v>2009</v>
      </c>
      <c r="I136" s="72">
        <v>16.4</v>
      </c>
      <c r="J136" s="109">
        <f t="shared" si="8"/>
        <v>100</v>
      </c>
      <c r="K136" s="109">
        <f t="shared" si="7"/>
        <v>0</v>
      </c>
      <c r="L136" s="296"/>
      <c r="M136" s="109"/>
      <c r="N136" s="76">
        <f t="shared" si="5"/>
        <v>0</v>
      </c>
      <c r="O136" s="109"/>
      <c r="P136" s="109"/>
      <c r="Q136" s="76">
        <f t="shared" si="6"/>
        <v>0</v>
      </c>
    </row>
    <row r="137" spans="3:17" ht="13.5">
      <c r="C137" s="142"/>
      <c r="D137" s="765" t="s">
        <v>878</v>
      </c>
      <c r="E137" s="109"/>
      <c r="F137" s="296" t="s">
        <v>686</v>
      </c>
      <c r="G137" s="72">
        <v>1</v>
      </c>
      <c r="H137" s="72">
        <v>2009</v>
      </c>
      <c r="I137" s="72">
        <v>97.7</v>
      </c>
      <c r="J137" s="109">
        <f t="shared" si="8"/>
        <v>100</v>
      </c>
      <c r="K137" s="109">
        <f t="shared" si="7"/>
        <v>0</v>
      </c>
      <c r="L137" s="296"/>
      <c r="M137" s="109"/>
      <c r="N137" s="76">
        <f t="shared" si="5"/>
        <v>0</v>
      </c>
      <c r="O137" s="109"/>
      <c r="P137" s="109"/>
      <c r="Q137" s="76">
        <f t="shared" si="6"/>
        <v>0</v>
      </c>
    </row>
    <row r="138" spans="3:17" ht="13.5">
      <c r="C138" s="142"/>
      <c r="D138" s="765" t="s">
        <v>877</v>
      </c>
      <c r="E138" s="109"/>
      <c r="F138" s="296" t="s">
        <v>686</v>
      </c>
      <c r="G138" s="72">
        <v>1</v>
      </c>
      <c r="H138" s="72">
        <v>2009</v>
      </c>
      <c r="I138" s="72">
        <v>16.4</v>
      </c>
      <c r="J138" s="109">
        <f t="shared" si="8"/>
        <v>100</v>
      </c>
      <c r="K138" s="109">
        <f t="shared" si="7"/>
        <v>0</v>
      </c>
      <c r="L138" s="296"/>
      <c r="M138" s="109"/>
      <c r="N138" s="76">
        <f t="shared" si="5"/>
        <v>0</v>
      </c>
      <c r="O138" s="109"/>
      <c r="P138" s="109"/>
      <c r="Q138" s="76">
        <f t="shared" si="6"/>
        <v>0</v>
      </c>
    </row>
    <row r="139" spans="3:17" ht="13.5">
      <c r="C139" s="142"/>
      <c r="D139" s="756" t="s">
        <v>930</v>
      </c>
      <c r="E139" s="109"/>
      <c r="F139" s="296" t="s">
        <v>686</v>
      </c>
      <c r="G139" s="72">
        <v>2</v>
      </c>
      <c r="H139" s="72">
        <v>2011</v>
      </c>
      <c r="I139" s="72">
        <v>460</v>
      </c>
      <c r="J139" s="109">
        <f t="shared" si="8"/>
        <v>100</v>
      </c>
      <c r="K139" s="109">
        <f t="shared" si="7"/>
        <v>0</v>
      </c>
      <c r="L139" s="296"/>
      <c r="M139" s="109"/>
      <c r="N139" s="76">
        <f t="shared" si="5"/>
        <v>0</v>
      </c>
      <c r="O139" s="109"/>
      <c r="P139" s="109"/>
      <c r="Q139" s="76">
        <f t="shared" si="6"/>
        <v>0</v>
      </c>
    </row>
    <row r="140" spans="3:17" ht="13.5">
      <c r="C140" s="142"/>
      <c r="D140" s="786" t="s">
        <v>935</v>
      </c>
      <c r="E140" s="109"/>
      <c r="F140" s="296" t="s">
        <v>686</v>
      </c>
      <c r="G140" s="72">
        <v>1</v>
      </c>
      <c r="H140" s="72">
        <v>2011</v>
      </c>
      <c r="I140" s="72">
        <v>844.124</v>
      </c>
      <c r="J140" s="109">
        <f t="shared" si="8"/>
        <v>100</v>
      </c>
      <c r="K140" s="109">
        <f t="shared" si="7"/>
        <v>0</v>
      </c>
      <c r="L140" s="296"/>
      <c r="M140" s="109"/>
      <c r="N140" s="76">
        <f t="shared" si="5"/>
        <v>0</v>
      </c>
      <c r="O140" s="109"/>
      <c r="P140" s="109"/>
      <c r="Q140" s="76">
        <f t="shared" si="6"/>
        <v>0</v>
      </c>
    </row>
    <row r="141" spans="3:17" ht="13.5">
      <c r="C141" s="142"/>
      <c r="D141" s="765" t="s">
        <v>951</v>
      </c>
      <c r="E141" s="109"/>
      <c r="F141" s="296" t="s">
        <v>686</v>
      </c>
      <c r="G141" s="767">
        <v>16</v>
      </c>
      <c r="H141" s="72">
        <v>2014</v>
      </c>
      <c r="I141" s="822">
        <v>160</v>
      </c>
      <c r="J141" s="109">
        <f t="shared" si="8"/>
        <v>100</v>
      </c>
      <c r="K141" s="109">
        <f t="shared" si="7"/>
        <v>0</v>
      </c>
      <c r="L141" s="296"/>
      <c r="M141" s="109"/>
      <c r="N141" s="76">
        <f t="shared" si="5"/>
        <v>0</v>
      </c>
      <c r="O141" s="109"/>
      <c r="P141" s="109"/>
      <c r="Q141" s="76">
        <f t="shared" si="6"/>
        <v>0</v>
      </c>
    </row>
    <row r="142" spans="3:17" ht="13.5">
      <c r="C142" s="142"/>
      <c r="D142" s="765" t="s">
        <v>951</v>
      </c>
      <c r="E142" s="109"/>
      <c r="F142" s="296" t="s">
        <v>686</v>
      </c>
      <c r="G142" s="767">
        <v>10</v>
      </c>
      <c r="H142" s="72">
        <v>2014</v>
      </c>
      <c r="I142" s="822">
        <v>195</v>
      </c>
      <c r="J142" s="109">
        <f t="shared" si="8"/>
        <v>100</v>
      </c>
      <c r="K142" s="109">
        <f t="shared" si="7"/>
        <v>0</v>
      </c>
      <c r="L142" s="296"/>
      <c r="M142" s="109"/>
      <c r="N142" s="76">
        <f t="shared" si="5"/>
        <v>0</v>
      </c>
      <c r="O142" s="109"/>
      <c r="P142" s="109"/>
      <c r="Q142" s="76">
        <f t="shared" si="6"/>
        <v>0</v>
      </c>
    </row>
    <row r="143" spans="3:17" ht="27">
      <c r="C143" s="142"/>
      <c r="D143" s="790" t="s">
        <v>959</v>
      </c>
      <c r="E143" s="109"/>
      <c r="F143" s="296" t="s">
        <v>686</v>
      </c>
      <c r="G143" s="771">
        <v>2</v>
      </c>
      <c r="H143" s="771">
        <v>2015</v>
      </c>
      <c r="I143" s="321">
        <v>2640</v>
      </c>
      <c r="J143" s="109">
        <f t="shared" si="8"/>
        <v>100</v>
      </c>
      <c r="K143" s="109">
        <f t="shared" si="7"/>
        <v>0</v>
      </c>
      <c r="L143" s="296"/>
      <c r="M143" s="109"/>
      <c r="N143" s="76">
        <f t="shared" si="5"/>
        <v>0</v>
      </c>
      <c r="O143" s="109"/>
      <c r="P143" s="109"/>
      <c r="Q143" s="76">
        <f t="shared" si="6"/>
        <v>0</v>
      </c>
    </row>
    <row r="144" spans="3:17" ht="13.5">
      <c r="C144" s="142"/>
      <c r="D144" s="782" t="s">
        <v>963</v>
      </c>
      <c r="E144" s="109"/>
      <c r="F144" s="756" t="s">
        <v>686</v>
      </c>
      <c r="G144" s="757">
        <v>15</v>
      </c>
      <c r="H144" s="757">
        <v>2016</v>
      </c>
      <c r="I144" s="321">
        <v>674.25</v>
      </c>
      <c r="J144" s="109">
        <f t="shared" si="8"/>
        <v>100</v>
      </c>
      <c r="K144" s="109">
        <f t="shared" si="7"/>
        <v>0</v>
      </c>
      <c r="L144" s="296"/>
      <c r="M144" s="109"/>
      <c r="N144" s="76">
        <f t="shared" si="5"/>
        <v>0</v>
      </c>
      <c r="O144" s="109"/>
      <c r="P144" s="109"/>
      <c r="Q144" s="76">
        <f t="shared" si="6"/>
        <v>0</v>
      </c>
    </row>
    <row r="145" spans="3:17" ht="27">
      <c r="C145" s="142"/>
      <c r="D145" s="814" t="s">
        <v>966</v>
      </c>
      <c r="E145" s="109"/>
      <c r="F145" s="756" t="s">
        <v>686</v>
      </c>
      <c r="G145" s="767">
        <v>30</v>
      </c>
      <c r="H145" s="767">
        <v>2018</v>
      </c>
      <c r="I145" s="822">
        <v>720</v>
      </c>
      <c r="J145" s="109">
        <f t="shared" si="8"/>
        <v>71.5</v>
      </c>
      <c r="K145" s="109">
        <f t="shared" si="7"/>
        <v>205.20000000000005</v>
      </c>
      <c r="L145" s="296"/>
      <c r="M145" s="109"/>
      <c r="N145" s="76">
        <f t="shared" si="5"/>
        <v>0</v>
      </c>
      <c r="O145" s="109"/>
      <c r="P145" s="109"/>
      <c r="Q145" s="76">
        <f t="shared" si="6"/>
        <v>0</v>
      </c>
    </row>
    <row r="146" spans="3:17" ht="13.5">
      <c r="C146" s="142"/>
      <c r="D146" s="831" t="s">
        <v>986</v>
      </c>
      <c r="E146" s="109"/>
      <c r="F146" s="756" t="s">
        <v>686</v>
      </c>
      <c r="G146" s="72">
        <v>14</v>
      </c>
      <c r="H146" s="72">
        <v>2021</v>
      </c>
      <c r="I146" s="72">
        <v>443.178</v>
      </c>
      <c r="J146" s="109">
        <f t="shared" si="8"/>
        <v>28.6</v>
      </c>
      <c r="K146" s="807">
        <f t="shared" si="7"/>
        <v>316.42909199999997</v>
      </c>
      <c r="L146" s="296"/>
      <c r="M146" s="109"/>
      <c r="N146" s="76">
        <f t="shared" si="5"/>
        <v>0</v>
      </c>
      <c r="O146" s="109"/>
      <c r="P146" s="109"/>
      <c r="Q146" s="76">
        <f t="shared" si="6"/>
        <v>0</v>
      </c>
    </row>
    <row r="147" spans="3:17" ht="13.5">
      <c r="C147" s="142"/>
      <c r="D147" s="832" t="s">
        <v>987</v>
      </c>
      <c r="E147" s="109"/>
      <c r="F147" s="756" t="s">
        <v>686</v>
      </c>
      <c r="G147" s="72">
        <v>1</v>
      </c>
      <c r="H147" s="72">
        <v>2021</v>
      </c>
      <c r="I147" s="72">
        <v>117.6</v>
      </c>
      <c r="J147" s="109">
        <f t="shared" si="8"/>
        <v>28.6</v>
      </c>
      <c r="K147" s="807">
        <f t="shared" si="7"/>
        <v>83.9664</v>
      </c>
      <c r="L147" s="296"/>
      <c r="M147" s="109"/>
      <c r="N147" s="76">
        <f t="shared" si="5"/>
        <v>0</v>
      </c>
      <c r="O147" s="109"/>
      <c r="P147" s="109"/>
      <c r="Q147" s="76">
        <f t="shared" si="6"/>
        <v>0</v>
      </c>
    </row>
    <row r="148" spans="3:17" ht="13.5">
      <c r="C148" s="142"/>
      <c r="D148" s="832"/>
      <c r="E148" s="109"/>
      <c r="F148" s="756"/>
      <c r="G148" s="72"/>
      <c r="H148" s="72"/>
      <c r="I148" s="72"/>
      <c r="J148" s="109"/>
      <c r="K148" s="807"/>
      <c r="L148" s="296"/>
      <c r="M148" s="109"/>
      <c r="N148" s="76"/>
      <c r="O148" s="109"/>
      <c r="P148" s="109"/>
      <c r="Q148" s="76">
        <f t="shared" si="6"/>
        <v>0</v>
      </c>
    </row>
    <row r="149" spans="3:17" ht="13.5">
      <c r="C149" s="142"/>
      <c r="D149" s="109" t="s">
        <v>1137</v>
      </c>
      <c r="E149" s="109"/>
      <c r="F149" s="756"/>
      <c r="G149" s="72"/>
      <c r="H149" s="72"/>
      <c r="I149" s="72"/>
      <c r="J149" s="109"/>
      <c r="K149" s="807"/>
      <c r="L149" s="296"/>
      <c r="M149" s="109"/>
      <c r="N149" s="76"/>
      <c r="O149" s="109">
        <v>25</v>
      </c>
      <c r="P149" s="109">
        <v>50</v>
      </c>
      <c r="Q149" s="76">
        <f t="shared" si="6"/>
        <v>1250</v>
      </c>
    </row>
    <row r="150" spans="3:17" ht="13.5">
      <c r="C150" s="142"/>
      <c r="D150" s="832"/>
      <c r="E150" s="109"/>
      <c r="F150" s="756"/>
      <c r="G150" s="72"/>
      <c r="H150" s="72"/>
      <c r="I150" s="72"/>
      <c r="J150" s="109"/>
      <c r="K150" s="807"/>
      <c r="L150" s="296"/>
      <c r="M150" s="109"/>
      <c r="N150" s="76"/>
      <c r="O150" s="109"/>
      <c r="P150" s="109"/>
      <c r="Q150" s="76">
        <f t="shared" si="6"/>
        <v>0</v>
      </c>
    </row>
    <row r="151" spans="1:17" ht="42.75">
      <c r="A151" s="697"/>
      <c r="B151" s="697"/>
      <c r="C151" s="695">
        <v>2</v>
      </c>
      <c r="D151" s="696" t="s">
        <v>563</v>
      </c>
      <c r="E151" s="696"/>
      <c r="F151" s="335"/>
      <c r="G151" s="698">
        <f>SUM(G152:G204)</f>
        <v>520</v>
      </c>
      <c r="H151" s="819"/>
      <c r="I151" s="819"/>
      <c r="J151" s="697"/>
      <c r="K151" s="697"/>
      <c r="L151" s="362">
        <f>SUM(L152:L173)</f>
        <v>0</v>
      </c>
      <c r="M151" s="697"/>
      <c r="N151" s="698">
        <f>SUM(N152:N173)</f>
        <v>0</v>
      </c>
      <c r="O151" s="698">
        <f>SUM(O152:O173)</f>
        <v>0</v>
      </c>
      <c r="P151" s="697"/>
      <c r="Q151" s="698">
        <f>SUM(Q152:Q209)</f>
        <v>5780</v>
      </c>
    </row>
    <row r="152" spans="3:17" ht="14.25">
      <c r="C152" s="142"/>
      <c r="D152" s="756" t="s">
        <v>806</v>
      </c>
      <c r="E152" s="115"/>
      <c r="F152" s="296" t="s">
        <v>686</v>
      </c>
      <c r="G152" s="72">
        <v>34</v>
      </c>
      <c r="H152" s="72">
        <v>2008</v>
      </c>
      <c r="I152" s="72">
        <v>1530</v>
      </c>
      <c r="J152" s="109">
        <f aca="true" t="shared" si="9" ref="J152:J183">IF(($J$14-H152)*J$82&gt;100,100,($J$14-H152)*J$82)</f>
        <v>100</v>
      </c>
      <c r="K152" s="109">
        <f>IF(J152=100,0,I152-I152*J152%)</f>
        <v>0</v>
      </c>
      <c r="L152" s="296"/>
      <c r="M152" s="109"/>
      <c r="N152" s="76">
        <f>+L152*M152</f>
        <v>0</v>
      </c>
      <c r="O152" s="109"/>
      <c r="P152" s="109"/>
      <c r="Q152" s="76">
        <f>+O152*P152</f>
        <v>0</v>
      </c>
    </row>
    <row r="153" spans="3:17" ht="14.25">
      <c r="C153" s="142"/>
      <c r="D153" s="756" t="s">
        <v>807</v>
      </c>
      <c r="E153" s="115"/>
      <c r="F153" s="296" t="s">
        <v>686</v>
      </c>
      <c r="G153" s="72">
        <v>10</v>
      </c>
      <c r="H153" s="72">
        <v>2008</v>
      </c>
      <c r="I153" s="72">
        <v>450</v>
      </c>
      <c r="J153" s="109">
        <f t="shared" si="9"/>
        <v>100</v>
      </c>
      <c r="K153" s="109">
        <f>IF(J153=100,0,I153-I153*J153%)</f>
        <v>0</v>
      </c>
      <c r="L153" s="296"/>
      <c r="M153" s="109"/>
      <c r="N153" s="76">
        <f>+L153*M153</f>
        <v>0</v>
      </c>
      <c r="O153" s="109"/>
      <c r="P153" s="109"/>
      <c r="Q153" s="76">
        <f aca="true" t="shared" si="10" ref="Q153:Q209">+O153*P153</f>
        <v>0</v>
      </c>
    </row>
    <row r="154" spans="3:17" ht="14.25">
      <c r="C154" s="142"/>
      <c r="D154" s="781" t="s">
        <v>808</v>
      </c>
      <c r="E154" s="115"/>
      <c r="F154" s="296" t="s">
        <v>686</v>
      </c>
      <c r="G154" s="72">
        <v>2</v>
      </c>
      <c r="H154" s="72">
        <v>2008</v>
      </c>
      <c r="I154" s="72">
        <v>6300</v>
      </c>
      <c r="J154" s="109">
        <f t="shared" si="9"/>
        <v>100</v>
      </c>
      <c r="K154" s="109">
        <f>IF(J154=100,0,I154-I154*J154%)</f>
        <v>0</v>
      </c>
      <c r="L154" s="296"/>
      <c r="M154" s="109"/>
      <c r="N154" s="76">
        <f aca="true" t="shared" si="11" ref="N154:N204">+L154*M154</f>
        <v>0</v>
      </c>
      <c r="O154" s="109"/>
      <c r="P154" s="109"/>
      <c r="Q154" s="76">
        <f t="shared" si="10"/>
        <v>0</v>
      </c>
    </row>
    <row r="155" spans="3:17" ht="14.25">
      <c r="C155" s="142"/>
      <c r="D155" s="756" t="s">
        <v>809</v>
      </c>
      <c r="E155" s="115"/>
      <c r="F155" s="296" t="s">
        <v>686</v>
      </c>
      <c r="G155" s="757">
        <f>9-2</f>
        <v>7</v>
      </c>
      <c r="H155" s="757">
        <v>2008</v>
      </c>
      <c r="I155" s="72">
        <f>2139.3-475.4</f>
        <v>1663.9</v>
      </c>
      <c r="J155" s="109">
        <f t="shared" si="9"/>
        <v>100</v>
      </c>
      <c r="K155" s="109">
        <f aca="true" t="shared" si="12" ref="K155:K172">IF(J155=100,0,I155-I155*J155%)</f>
        <v>0</v>
      </c>
      <c r="L155" s="296"/>
      <c r="M155" s="109"/>
      <c r="N155" s="76">
        <f t="shared" si="11"/>
        <v>0</v>
      </c>
      <c r="O155" s="109"/>
      <c r="P155" s="109"/>
      <c r="Q155" s="76">
        <f t="shared" si="10"/>
        <v>0</v>
      </c>
    </row>
    <row r="156" spans="3:17" ht="14.25">
      <c r="C156" s="142"/>
      <c r="D156" s="756" t="s">
        <v>810</v>
      </c>
      <c r="E156" s="115"/>
      <c r="F156" s="296" t="s">
        <v>686</v>
      </c>
      <c r="G156" s="757">
        <v>1</v>
      </c>
      <c r="H156" s="757">
        <v>2008</v>
      </c>
      <c r="I156" s="72">
        <v>1110</v>
      </c>
      <c r="J156" s="109">
        <f t="shared" si="9"/>
        <v>100</v>
      </c>
      <c r="K156" s="109">
        <f t="shared" si="12"/>
        <v>0</v>
      </c>
      <c r="L156" s="296"/>
      <c r="M156" s="109"/>
      <c r="N156" s="76">
        <f t="shared" si="11"/>
        <v>0</v>
      </c>
      <c r="O156" s="109"/>
      <c r="P156" s="109"/>
      <c r="Q156" s="76">
        <f t="shared" si="10"/>
        <v>0</v>
      </c>
    </row>
    <row r="157" spans="3:17" ht="14.25">
      <c r="C157" s="142"/>
      <c r="D157" s="756" t="s">
        <v>811</v>
      </c>
      <c r="E157" s="115"/>
      <c r="F157" s="296" t="s">
        <v>686</v>
      </c>
      <c r="G157" s="72">
        <v>22</v>
      </c>
      <c r="H157" s="72">
        <v>2008</v>
      </c>
      <c r="I157" s="72">
        <v>1742.4</v>
      </c>
      <c r="J157" s="109">
        <f t="shared" si="9"/>
        <v>100</v>
      </c>
      <c r="K157" s="109">
        <f t="shared" si="12"/>
        <v>0</v>
      </c>
      <c r="L157" s="296"/>
      <c r="M157" s="109"/>
      <c r="N157" s="76">
        <f t="shared" si="11"/>
        <v>0</v>
      </c>
      <c r="O157" s="109"/>
      <c r="P157" s="109"/>
      <c r="Q157" s="76">
        <f t="shared" si="10"/>
        <v>0</v>
      </c>
    </row>
    <row r="158" spans="3:17" ht="14.25">
      <c r="C158" s="142"/>
      <c r="D158" s="797" t="s">
        <v>812</v>
      </c>
      <c r="E158" s="115"/>
      <c r="F158" s="296" t="s">
        <v>686</v>
      </c>
      <c r="G158" s="72">
        <v>1</v>
      </c>
      <c r="H158" s="72">
        <v>2008</v>
      </c>
      <c r="I158" s="72">
        <v>250</v>
      </c>
      <c r="J158" s="109">
        <f t="shared" si="9"/>
        <v>100</v>
      </c>
      <c r="K158" s="109">
        <f t="shared" si="12"/>
        <v>0</v>
      </c>
      <c r="L158" s="296"/>
      <c r="M158" s="109"/>
      <c r="N158" s="76">
        <f t="shared" si="11"/>
        <v>0</v>
      </c>
      <c r="O158" s="109"/>
      <c r="P158" s="109"/>
      <c r="Q158" s="76">
        <f t="shared" si="10"/>
        <v>0</v>
      </c>
    </row>
    <row r="159" spans="3:17" ht="14.25">
      <c r="C159" s="142"/>
      <c r="D159" s="756" t="s">
        <v>813</v>
      </c>
      <c r="E159" s="115"/>
      <c r="F159" s="296" t="s">
        <v>686</v>
      </c>
      <c r="G159" s="72">
        <v>5</v>
      </c>
      <c r="H159" s="72">
        <v>2008</v>
      </c>
      <c r="I159" s="72">
        <v>160.5</v>
      </c>
      <c r="J159" s="109">
        <f t="shared" si="9"/>
        <v>100</v>
      </c>
      <c r="K159" s="109">
        <f t="shared" si="12"/>
        <v>0</v>
      </c>
      <c r="L159" s="296"/>
      <c r="M159" s="109"/>
      <c r="N159" s="76">
        <f t="shared" si="11"/>
        <v>0</v>
      </c>
      <c r="O159" s="109"/>
      <c r="P159" s="109"/>
      <c r="Q159" s="76">
        <f t="shared" si="10"/>
        <v>0</v>
      </c>
    </row>
    <row r="160" spans="3:17" ht="14.25">
      <c r="C160" s="142"/>
      <c r="D160" s="756" t="s">
        <v>814</v>
      </c>
      <c r="E160" s="115"/>
      <c r="F160" s="296" t="s">
        <v>686</v>
      </c>
      <c r="G160" s="72">
        <v>1</v>
      </c>
      <c r="H160" s="72">
        <v>2008</v>
      </c>
      <c r="I160" s="72">
        <v>222.1</v>
      </c>
      <c r="J160" s="109">
        <f t="shared" si="9"/>
        <v>100</v>
      </c>
      <c r="K160" s="109">
        <f t="shared" si="12"/>
        <v>0</v>
      </c>
      <c r="L160" s="296"/>
      <c r="M160" s="109"/>
      <c r="N160" s="76">
        <f t="shared" si="11"/>
        <v>0</v>
      </c>
      <c r="O160" s="109"/>
      <c r="P160" s="109"/>
      <c r="Q160" s="76">
        <f t="shared" si="10"/>
        <v>0</v>
      </c>
    </row>
    <row r="161" spans="3:17" ht="14.25">
      <c r="C161" s="142"/>
      <c r="D161" s="756" t="s">
        <v>815</v>
      </c>
      <c r="E161" s="115"/>
      <c r="F161" s="296" t="s">
        <v>686</v>
      </c>
      <c r="G161" s="72">
        <v>2</v>
      </c>
      <c r="H161" s="72">
        <v>2008</v>
      </c>
      <c r="I161" s="72">
        <v>478.3</v>
      </c>
      <c r="J161" s="109">
        <f t="shared" si="9"/>
        <v>100</v>
      </c>
      <c r="K161" s="109">
        <f t="shared" si="12"/>
        <v>0</v>
      </c>
      <c r="L161" s="296"/>
      <c r="M161" s="109"/>
      <c r="N161" s="76">
        <f t="shared" si="11"/>
        <v>0</v>
      </c>
      <c r="O161" s="109"/>
      <c r="P161" s="109"/>
      <c r="Q161" s="76">
        <f t="shared" si="10"/>
        <v>0</v>
      </c>
    </row>
    <row r="162" spans="3:17" ht="27">
      <c r="C162" s="142"/>
      <c r="D162" s="789" t="s">
        <v>816</v>
      </c>
      <c r="E162" s="115"/>
      <c r="F162" s="296" t="s">
        <v>686</v>
      </c>
      <c r="G162" s="72">
        <v>2</v>
      </c>
      <c r="H162" s="72">
        <v>2006</v>
      </c>
      <c r="I162" s="72">
        <v>8274</v>
      </c>
      <c r="J162" s="109">
        <f t="shared" si="9"/>
        <v>100</v>
      </c>
      <c r="K162" s="109">
        <f t="shared" si="12"/>
        <v>0</v>
      </c>
      <c r="L162" s="296"/>
      <c r="M162" s="109"/>
      <c r="N162" s="76">
        <f t="shared" si="11"/>
        <v>0</v>
      </c>
      <c r="O162" s="109"/>
      <c r="P162" s="109"/>
      <c r="Q162" s="76">
        <f t="shared" si="10"/>
        <v>0</v>
      </c>
    </row>
    <row r="163" spans="3:17" ht="27">
      <c r="C163" s="142"/>
      <c r="D163" s="789" t="s">
        <v>817</v>
      </c>
      <c r="E163" s="115"/>
      <c r="F163" s="296" t="s">
        <v>686</v>
      </c>
      <c r="G163" s="72">
        <v>1</v>
      </c>
      <c r="H163" s="72">
        <v>2002</v>
      </c>
      <c r="I163" s="72">
        <v>1727.8</v>
      </c>
      <c r="J163" s="109">
        <f t="shared" si="9"/>
        <v>100</v>
      </c>
      <c r="K163" s="109">
        <f t="shared" si="12"/>
        <v>0</v>
      </c>
      <c r="L163" s="296"/>
      <c r="M163" s="109"/>
      <c r="N163" s="76">
        <f t="shared" si="11"/>
        <v>0</v>
      </c>
      <c r="O163" s="109"/>
      <c r="P163" s="109"/>
      <c r="Q163" s="76">
        <f t="shared" si="10"/>
        <v>0</v>
      </c>
    </row>
    <row r="164" spans="3:17" ht="14.25">
      <c r="C164" s="142"/>
      <c r="D164" s="756" t="s">
        <v>818</v>
      </c>
      <c r="E164" s="115"/>
      <c r="F164" s="296" t="s">
        <v>686</v>
      </c>
      <c r="G164" s="72">
        <v>1</v>
      </c>
      <c r="H164" s="72">
        <v>2005</v>
      </c>
      <c r="I164" s="72">
        <v>149.2</v>
      </c>
      <c r="J164" s="109">
        <f t="shared" si="9"/>
        <v>100</v>
      </c>
      <c r="K164" s="109">
        <f t="shared" si="12"/>
        <v>0</v>
      </c>
      <c r="L164" s="296"/>
      <c r="M164" s="109"/>
      <c r="N164" s="76">
        <f t="shared" si="11"/>
        <v>0</v>
      </c>
      <c r="O164" s="109"/>
      <c r="P164" s="109"/>
      <c r="Q164" s="76">
        <f t="shared" si="10"/>
        <v>0</v>
      </c>
    </row>
    <row r="165" spans="3:17" ht="14.25">
      <c r="C165" s="142"/>
      <c r="D165" s="756" t="s">
        <v>807</v>
      </c>
      <c r="E165" s="115"/>
      <c r="F165" s="296" t="s">
        <v>686</v>
      </c>
      <c r="G165" s="72">
        <v>11</v>
      </c>
      <c r="H165" s="72">
        <v>2007</v>
      </c>
      <c r="I165" s="72">
        <v>647.9</v>
      </c>
      <c r="J165" s="109">
        <f t="shared" si="9"/>
        <v>100</v>
      </c>
      <c r="K165" s="109">
        <f t="shared" si="12"/>
        <v>0</v>
      </c>
      <c r="L165" s="296"/>
      <c r="M165" s="109"/>
      <c r="N165" s="76">
        <f t="shared" si="11"/>
        <v>0</v>
      </c>
      <c r="O165" s="109"/>
      <c r="P165" s="109"/>
      <c r="Q165" s="76">
        <f t="shared" si="10"/>
        <v>0</v>
      </c>
    </row>
    <row r="166" spans="3:17" ht="14.25">
      <c r="C166" s="142"/>
      <c r="D166" s="789" t="s">
        <v>819</v>
      </c>
      <c r="E166" s="115"/>
      <c r="F166" s="296" t="s">
        <v>686</v>
      </c>
      <c r="G166" s="72">
        <v>1</v>
      </c>
      <c r="H166" s="72">
        <v>2006</v>
      </c>
      <c r="I166" s="72">
        <v>60.5</v>
      </c>
      <c r="J166" s="109">
        <f t="shared" si="9"/>
        <v>100</v>
      </c>
      <c r="K166" s="109">
        <f t="shared" si="12"/>
        <v>0</v>
      </c>
      <c r="L166" s="296"/>
      <c r="M166" s="109"/>
      <c r="N166" s="76">
        <f t="shared" si="11"/>
        <v>0</v>
      </c>
      <c r="O166" s="109"/>
      <c r="P166" s="109"/>
      <c r="Q166" s="76">
        <f t="shared" si="10"/>
        <v>0</v>
      </c>
    </row>
    <row r="167" spans="3:17" ht="14.25">
      <c r="C167" s="142"/>
      <c r="D167" s="765" t="s">
        <v>820</v>
      </c>
      <c r="E167" s="115"/>
      <c r="F167" s="296" t="s">
        <v>686</v>
      </c>
      <c r="G167" s="72">
        <v>20</v>
      </c>
      <c r="H167" s="72">
        <v>2004</v>
      </c>
      <c r="I167" s="72">
        <f>459.2*20</f>
        <v>9184</v>
      </c>
      <c r="J167" s="109">
        <f t="shared" si="9"/>
        <v>100</v>
      </c>
      <c r="K167" s="109">
        <f t="shared" si="12"/>
        <v>0</v>
      </c>
      <c r="L167" s="296"/>
      <c r="M167" s="109"/>
      <c r="N167" s="76">
        <f t="shared" si="11"/>
        <v>0</v>
      </c>
      <c r="O167" s="109"/>
      <c r="P167" s="109"/>
      <c r="Q167" s="76">
        <f t="shared" si="10"/>
        <v>0</v>
      </c>
    </row>
    <row r="168" spans="3:17" ht="14.25">
      <c r="C168" s="142"/>
      <c r="D168" s="798" t="s">
        <v>821</v>
      </c>
      <c r="E168" s="115"/>
      <c r="F168" s="296" t="s">
        <v>686</v>
      </c>
      <c r="G168" s="72">
        <v>8</v>
      </c>
      <c r="H168" s="72">
        <v>2003</v>
      </c>
      <c r="I168" s="72">
        <v>1211.2</v>
      </c>
      <c r="J168" s="109">
        <f t="shared" si="9"/>
        <v>100</v>
      </c>
      <c r="K168" s="109">
        <f t="shared" si="12"/>
        <v>0</v>
      </c>
      <c r="L168" s="296"/>
      <c r="M168" s="109"/>
      <c r="N168" s="76">
        <f t="shared" si="11"/>
        <v>0</v>
      </c>
      <c r="O168" s="109"/>
      <c r="P168" s="109"/>
      <c r="Q168" s="76">
        <f t="shared" si="10"/>
        <v>0</v>
      </c>
    </row>
    <row r="169" spans="3:17" ht="14.25">
      <c r="C169" s="142"/>
      <c r="D169" s="765" t="s">
        <v>822</v>
      </c>
      <c r="E169" s="115"/>
      <c r="F169" s="296" t="s">
        <v>686</v>
      </c>
      <c r="G169" s="72">
        <v>1</v>
      </c>
      <c r="H169" s="72">
        <v>2009</v>
      </c>
      <c r="I169" s="72">
        <v>340.2</v>
      </c>
      <c r="J169" s="109">
        <f t="shared" si="9"/>
        <v>100</v>
      </c>
      <c r="K169" s="109">
        <f t="shared" si="12"/>
        <v>0</v>
      </c>
      <c r="L169" s="296"/>
      <c r="M169" s="109"/>
      <c r="N169" s="76">
        <f t="shared" si="11"/>
        <v>0</v>
      </c>
      <c r="O169" s="109"/>
      <c r="P169" s="109"/>
      <c r="Q169" s="76">
        <f t="shared" si="10"/>
        <v>0</v>
      </c>
    </row>
    <row r="170" spans="3:17" ht="14.25">
      <c r="C170" s="142"/>
      <c r="D170" s="765" t="s">
        <v>823</v>
      </c>
      <c r="E170" s="115"/>
      <c r="F170" s="296" t="s">
        <v>686</v>
      </c>
      <c r="G170" s="72">
        <v>1</v>
      </c>
      <c r="H170" s="72">
        <v>2009</v>
      </c>
      <c r="I170" s="72">
        <v>329</v>
      </c>
      <c r="J170" s="109">
        <f t="shared" si="9"/>
        <v>100</v>
      </c>
      <c r="K170" s="109">
        <f t="shared" si="12"/>
        <v>0</v>
      </c>
      <c r="L170" s="296"/>
      <c r="M170" s="109"/>
      <c r="N170" s="76">
        <f t="shared" si="11"/>
        <v>0</v>
      </c>
      <c r="O170" s="109"/>
      <c r="P170" s="109"/>
      <c r="Q170" s="76">
        <f t="shared" si="10"/>
        <v>0</v>
      </c>
    </row>
    <row r="171" spans="3:17" ht="14.25">
      <c r="C171" s="142"/>
      <c r="D171" s="765" t="s">
        <v>824</v>
      </c>
      <c r="E171" s="115"/>
      <c r="F171" s="296" t="s">
        <v>686</v>
      </c>
      <c r="G171" s="72">
        <v>1</v>
      </c>
      <c r="H171" s="72">
        <v>2009</v>
      </c>
      <c r="I171" s="72">
        <v>69.3</v>
      </c>
      <c r="J171" s="109">
        <f t="shared" si="9"/>
        <v>100</v>
      </c>
      <c r="K171" s="109">
        <f t="shared" si="12"/>
        <v>0</v>
      </c>
      <c r="L171" s="296"/>
      <c r="M171" s="109"/>
      <c r="N171" s="76">
        <f t="shared" si="11"/>
        <v>0</v>
      </c>
      <c r="O171" s="109"/>
      <c r="P171" s="109"/>
      <c r="Q171" s="76">
        <f t="shared" si="10"/>
        <v>0</v>
      </c>
    </row>
    <row r="172" spans="3:17" ht="14.25">
      <c r="C172" s="142"/>
      <c r="D172" s="765" t="s">
        <v>824</v>
      </c>
      <c r="E172" s="115"/>
      <c r="F172" s="296" t="s">
        <v>686</v>
      </c>
      <c r="G172" s="72">
        <v>1</v>
      </c>
      <c r="H172" s="72">
        <v>2009</v>
      </c>
      <c r="I172" s="72">
        <v>69.4</v>
      </c>
      <c r="J172" s="109">
        <f t="shared" si="9"/>
        <v>100</v>
      </c>
      <c r="K172" s="109">
        <f t="shared" si="12"/>
        <v>0</v>
      </c>
      <c r="L172" s="296"/>
      <c r="M172" s="109"/>
      <c r="N172" s="76">
        <f t="shared" si="11"/>
        <v>0</v>
      </c>
      <c r="O172" s="109"/>
      <c r="P172" s="109"/>
      <c r="Q172" s="76">
        <f t="shared" si="10"/>
        <v>0</v>
      </c>
    </row>
    <row r="173" spans="3:17" ht="14.25">
      <c r="C173" s="142"/>
      <c r="D173" s="765" t="s">
        <v>823</v>
      </c>
      <c r="E173" s="115"/>
      <c r="F173" s="296" t="s">
        <v>686</v>
      </c>
      <c r="G173" s="72">
        <v>1</v>
      </c>
      <c r="H173" s="72">
        <v>2009</v>
      </c>
      <c r="I173" s="72">
        <v>321.6</v>
      </c>
      <c r="J173" s="109">
        <f t="shared" si="9"/>
        <v>100</v>
      </c>
      <c r="K173" s="109">
        <f aca="true" t="shared" si="13" ref="K173:K204">IF(J173=100,0,I173-I173*J173%)</f>
        <v>0</v>
      </c>
      <c r="L173" s="296"/>
      <c r="M173" s="109"/>
      <c r="N173" s="76">
        <f t="shared" si="11"/>
        <v>0</v>
      </c>
      <c r="O173" s="109"/>
      <c r="P173" s="109"/>
      <c r="Q173" s="76">
        <f t="shared" si="10"/>
        <v>0</v>
      </c>
    </row>
    <row r="174" spans="3:17" ht="14.25">
      <c r="C174" s="142"/>
      <c r="D174" s="765" t="s">
        <v>824</v>
      </c>
      <c r="E174" s="799"/>
      <c r="F174" s="296" t="s">
        <v>686</v>
      </c>
      <c r="G174" s="72">
        <v>1</v>
      </c>
      <c r="H174" s="72">
        <v>2009</v>
      </c>
      <c r="I174" s="72">
        <v>69.4</v>
      </c>
      <c r="J174" s="109">
        <f t="shared" si="9"/>
        <v>100</v>
      </c>
      <c r="K174" s="109">
        <f t="shared" si="13"/>
        <v>0</v>
      </c>
      <c r="L174" s="296"/>
      <c r="M174" s="109"/>
      <c r="N174" s="76">
        <f t="shared" si="11"/>
        <v>0</v>
      </c>
      <c r="O174" s="109"/>
      <c r="P174" s="109"/>
      <c r="Q174" s="76">
        <f t="shared" si="10"/>
        <v>0</v>
      </c>
    </row>
    <row r="175" spans="3:17" ht="27">
      <c r="C175" s="142"/>
      <c r="D175" s="787" t="s">
        <v>825</v>
      </c>
      <c r="E175" s="799"/>
      <c r="F175" s="296" t="s">
        <v>686</v>
      </c>
      <c r="G175" s="72">
        <v>1</v>
      </c>
      <c r="H175" s="72">
        <v>2010</v>
      </c>
      <c r="I175" s="72">
        <v>2660</v>
      </c>
      <c r="J175" s="109">
        <f t="shared" si="9"/>
        <v>100</v>
      </c>
      <c r="K175" s="109">
        <f t="shared" si="13"/>
        <v>0</v>
      </c>
      <c r="L175" s="296"/>
      <c r="M175" s="109"/>
      <c r="N175" s="76">
        <f t="shared" si="11"/>
        <v>0</v>
      </c>
      <c r="O175" s="109"/>
      <c r="P175" s="109"/>
      <c r="Q175" s="76">
        <f t="shared" si="10"/>
        <v>0</v>
      </c>
    </row>
    <row r="176" spans="3:17" ht="14.25">
      <c r="C176" s="142"/>
      <c r="D176" s="756" t="s">
        <v>879</v>
      </c>
      <c r="E176" s="799"/>
      <c r="F176" s="296" t="s">
        <v>686</v>
      </c>
      <c r="G176" s="72">
        <v>30</v>
      </c>
      <c r="H176" s="72">
        <v>2011</v>
      </c>
      <c r="I176" s="72">
        <v>2220</v>
      </c>
      <c r="J176" s="109">
        <f t="shared" si="9"/>
        <v>100</v>
      </c>
      <c r="K176" s="109">
        <f t="shared" si="13"/>
        <v>0</v>
      </c>
      <c r="L176" s="296"/>
      <c r="M176" s="109"/>
      <c r="N176" s="76">
        <f t="shared" si="11"/>
        <v>0</v>
      </c>
      <c r="O176" s="109"/>
      <c r="P176" s="109"/>
      <c r="Q176" s="76">
        <f t="shared" si="10"/>
        <v>0</v>
      </c>
    </row>
    <row r="177" spans="3:17" ht="14.25">
      <c r="C177" s="142"/>
      <c r="D177" s="804" t="s">
        <v>880</v>
      </c>
      <c r="E177" s="799"/>
      <c r="F177" s="296" t="s">
        <v>686</v>
      </c>
      <c r="G177" s="72">
        <v>9</v>
      </c>
      <c r="H177" s="72">
        <v>2011</v>
      </c>
      <c r="I177" s="72">
        <v>1057.5</v>
      </c>
      <c r="J177" s="109">
        <f t="shared" si="9"/>
        <v>100</v>
      </c>
      <c r="K177" s="109">
        <f t="shared" si="13"/>
        <v>0</v>
      </c>
      <c r="L177" s="296"/>
      <c r="M177" s="109"/>
      <c r="N177" s="76">
        <f t="shared" si="11"/>
        <v>0</v>
      </c>
      <c r="O177" s="109"/>
      <c r="P177" s="109"/>
      <c r="Q177" s="76">
        <f t="shared" si="10"/>
        <v>0</v>
      </c>
    </row>
    <row r="178" spans="3:17" ht="14.25">
      <c r="C178" s="142"/>
      <c r="D178" s="786" t="s">
        <v>826</v>
      </c>
      <c r="E178" s="799"/>
      <c r="F178" s="296" t="s">
        <v>686</v>
      </c>
      <c r="G178" s="72">
        <v>4</v>
      </c>
      <c r="H178" s="72">
        <v>2011</v>
      </c>
      <c r="I178" s="72">
        <v>3339.4</v>
      </c>
      <c r="J178" s="109">
        <f t="shared" si="9"/>
        <v>100</v>
      </c>
      <c r="K178" s="109">
        <f t="shared" si="13"/>
        <v>0</v>
      </c>
      <c r="L178" s="296"/>
      <c r="M178" s="109"/>
      <c r="N178" s="76">
        <f t="shared" si="11"/>
        <v>0</v>
      </c>
      <c r="O178" s="109"/>
      <c r="P178" s="109"/>
      <c r="Q178" s="76">
        <f t="shared" si="10"/>
        <v>0</v>
      </c>
    </row>
    <row r="179" spans="3:17" ht="14.25">
      <c r="C179" s="142"/>
      <c r="D179" s="786" t="s">
        <v>827</v>
      </c>
      <c r="E179" s="799"/>
      <c r="F179" s="296" t="s">
        <v>686</v>
      </c>
      <c r="G179" s="72">
        <v>66</v>
      </c>
      <c r="H179" s="72">
        <v>2011</v>
      </c>
      <c r="I179" s="72">
        <v>19033.8</v>
      </c>
      <c r="J179" s="109">
        <f t="shared" si="9"/>
        <v>100</v>
      </c>
      <c r="K179" s="109">
        <f t="shared" si="13"/>
        <v>0</v>
      </c>
      <c r="L179" s="296"/>
      <c r="M179" s="109"/>
      <c r="N179" s="76">
        <f t="shared" si="11"/>
        <v>0</v>
      </c>
      <c r="O179" s="109"/>
      <c r="P179" s="109"/>
      <c r="Q179" s="76">
        <f t="shared" si="10"/>
        <v>0</v>
      </c>
    </row>
    <row r="180" spans="3:17" ht="14.25">
      <c r="C180" s="142"/>
      <c r="D180" s="786" t="s">
        <v>828</v>
      </c>
      <c r="E180" s="799"/>
      <c r="F180" s="296" t="s">
        <v>686</v>
      </c>
      <c r="G180" s="72">
        <v>6</v>
      </c>
      <c r="H180" s="72">
        <v>2011</v>
      </c>
      <c r="I180" s="72">
        <v>1296</v>
      </c>
      <c r="J180" s="109">
        <f t="shared" si="9"/>
        <v>100</v>
      </c>
      <c r="K180" s="109">
        <f t="shared" si="13"/>
        <v>0</v>
      </c>
      <c r="L180" s="296"/>
      <c r="M180" s="109"/>
      <c r="N180" s="76">
        <f t="shared" si="11"/>
        <v>0</v>
      </c>
      <c r="O180" s="109"/>
      <c r="P180" s="109"/>
      <c r="Q180" s="76">
        <f t="shared" si="10"/>
        <v>0</v>
      </c>
    </row>
    <row r="181" spans="3:17" ht="14.25">
      <c r="C181" s="142"/>
      <c r="D181" s="800" t="s">
        <v>829</v>
      </c>
      <c r="E181" s="799"/>
      <c r="F181" s="296" t="s">
        <v>686</v>
      </c>
      <c r="G181" s="72">
        <v>3</v>
      </c>
      <c r="H181" s="72">
        <v>2012</v>
      </c>
      <c r="I181" s="72">
        <v>415.8</v>
      </c>
      <c r="J181" s="109">
        <f t="shared" si="9"/>
        <v>100</v>
      </c>
      <c r="K181" s="109">
        <f t="shared" si="13"/>
        <v>0</v>
      </c>
      <c r="L181" s="296"/>
      <c r="M181" s="109"/>
      <c r="N181" s="76">
        <f t="shared" si="11"/>
        <v>0</v>
      </c>
      <c r="O181" s="109"/>
      <c r="P181" s="109"/>
      <c r="Q181" s="76">
        <f t="shared" si="10"/>
        <v>0</v>
      </c>
    </row>
    <row r="182" spans="3:17" ht="14.25">
      <c r="C182" s="142"/>
      <c r="D182" s="756" t="s">
        <v>830</v>
      </c>
      <c r="E182" s="799"/>
      <c r="F182" s="296" t="s">
        <v>686</v>
      </c>
      <c r="G182" s="72">
        <v>54</v>
      </c>
      <c r="H182" s="72">
        <v>2012</v>
      </c>
      <c r="I182" s="72">
        <v>3434.4</v>
      </c>
      <c r="J182" s="109">
        <f t="shared" si="9"/>
        <v>100</v>
      </c>
      <c r="K182" s="109">
        <f t="shared" si="13"/>
        <v>0</v>
      </c>
      <c r="L182" s="296"/>
      <c r="M182" s="109"/>
      <c r="N182" s="76">
        <f t="shared" si="11"/>
        <v>0</v>
      </c>
      <c r="O182" s="109"/>
      <c r="P182" s="109"/>
      <c r="Q182" s="76">
        <f t="shared" si="10"/>
        <v>0</v>
      </c>
    </row>
    <row r="183" spans="3:17" ht="14.25">
      <c r="C183" s="142"/>
      <c r="D183" s="800" t="s">
        <v>812</v>
      </c>
      <c r="E183" s="799"/>
      <c r="F183" s="296" t="s">
        <v>686</v>
      </c>
      <c r="G183" s="72">
        <v>3</v>
      </c>
      <c r="H183" s="72">
        <v>2012</v>
      </c>
      <c r="I183" s="72">
        <v>415.8</v>
      </c>
      <c r="J183" s="109">
        <f t="shared" si="9"/>
        <v>100</v>
      </c>
      <c r="K183" s="109">
        <f t="shared" si="13"/>
        <v>0</v>
      </c>
      <c r="L183" s="296"/>
      <c r="M183" s="109"/>
      <c r="N183" s="76">
        <f t="shared" si="11"/>
        <v>0</v>
      </c>
      <c r="O183" s="109"/>
      <c r="P183" s="109"/>
      <c r="Q183" s="76">
        <f t="shared" si="10"/>
        <v>0</v>
      </c>
    </row>
    <row r="184" spans="3:17" ht="14.25">
      <c r="C184" s="142"/>
      <c r="D184" s="765" t="s">
        <v>831</v>
      </c>
      <c r="E184" s="799"/>
      <c r="F184" s="296" t="s">
        <v>686</v>
      </c>
      <c r="G184" s="72">
        <v>20</v>
      </c>
      <c r="H184" s="72">
        <v>2013</v>
      </c>
      <c r="I184" s="72">
        <v>1308</v>
      </c>
      <c r="J184" s="109">
        <f aca="true" t="shared" si="14" ref="J184:J204">IF(($J$14-H184)*J$82&gt;100,100,($J$14-H184)*J$82)</f>
        <v>100</v>
      </c>
      <c r="K184" s="109">
        <f t="shared" si="13"/>
        <v>0</v>
      </c>
      <c r="L184" s="296"/>
      <c r="M184" s="109"/>
      <c r="N184" s="76">
        <f t="shared" si="11"/>
        <v>0</v>
      </c>
      <c r="O184" s="109"/>
      <c r="P184" s="109"/>
      <c r="Q184" s="76">
        <f t="shared" si="10"/>
        <v>0</v>
      </c>
    </row>
    <row r="185" spans="3:17" ht="14.25">
      <c r="C185" s="142"/>
      <c r="D185" s="765" t="s">
        <v>832</v>
      </c>
      <c r="E185" s="799"/>
      <c r="F185" s="296" t="s">
        <v>686</v>
      </c>
      <c r="G185" s="72">
        <v>5</v>
      </c>
      <c r="H185" s="72">
        <v>2014</v>
      </c>
      <c r="I185" s="72">
        <v>340</v>
      </c>
      <c r="J185" s="109">
        <f t="shared" si="14"/>
        <v>100</v>
      </c>
      <c r="K185" s="109">
        <f t="shared" si="13"/>
        <v>0</v>
      </c>
      <c r="L185" s="296"/>
      <c r="M185" s="109"/>
      <c r="N185" s="76">
        <f t="shared" si="11"/>
        <v>0</v>
      </c>
      <c r="O185" s="109"/>
      <c r="P185" s="109"/>
      <c r="Q185" s="76">
        <f t="shared" si="10"/>
        <v>0</v>
      </c>
    </row>
    <row r="186" spans="3:17" ht="14.25">
      <c r="C186" s="142"/>
      <c r="D186" s="765" t="s">
        <v>833</v>
      </c>
      <c r="E186" s="799"/>
      <c r="F186" s="296" t="s">
        <v>686</v>
      </c>
      <c r="G186" s="72">
        <v>6</v>
      </c>
      <c r="H186" s="72">
        <v>2014</v>
      </c>
      <c r="I186" s="72">
        <v>346</v>
      </c>
      <c r="J186" s="109">
        <f t="shared" si="14"/>
        <v>100</v>
      </c>
      <c r="K186" s="109">
        <f t="shared" si="13"/>
        <v>0</v>
      </c>
      <c r="L186" s="296"/>
      <c r="M186" s="109"/>
      <c r="N186" s="76">
        <f t="shared" si="11"/>
        <v>0</v>
      </c>
      <c r="O186" s="109"/>
      <c r="P186" s="109"/>
      <c r="Q186" s="76">
        <f t="shared" si="10"/>
        <v>0</v>
      </c>
    </row>
    <row r="187" spans="3:17" ht="14.25">
      <c r="C187" s="142"/>
      <c r="D187" s="768" t="s">
        <v>834</v>
      </c>
      <c r="E187" s="799"/>
      <c r="F187" s="296" t="s">
        <v>686</v>
      </c>
      <c r="G187" s="72">
        <v>3</v>
      </c>
      <c r="H187" s="72">
        <v>2015</v>
      </c>
      <c r="I187" s="72">
        <v>352.8</v>
      </c>
      <c r="J187" s="109">
        <f t="shared" si="14"/>
        <v>100</v>
      </c>
      <c r="K187" s="109">
        <f t="shared" si="13"/>
        <v>0</v>
      </c>
      <c r="L187" s="296"/>
      <c r="M187" s="109"/>
      <c r="N187" s="76">
        <f t="shared" si="11"/>
        <v>0</v>
      </c>
      <c r="O187" s="109"/>
      <c r="P187" s="109"/>
      <c r="Q187" s="76">
        <f t="shared" si="10"/>
        <v>0</v>
      </c>
    </row>
    <row r="188" spans="3:17" ht="14.25">
      <c r="C188" s="142"/>
      <c r="D188" s="768" t="s">
        <v>835</v>
      </c>
      <c r="E188" s="799"/>
      <c r="F188" s="296" t="s">
        <v>686</v>
      </c>
      <c r="G188" s="72">
        <v>2</v>
      </c>
      <c r="H188" s="72">
        <v>2015</v>
      </c>
      <c r="I188" s="72">
        <v>80.4</v>
      </c>
      <c r="J188" s="109">
        <f t="shared" si="14"/>
        <v>100</v>
      </c>
      <c r="K188" s="109">
        <f t="shared" si="13"/>
        <v>0</v>
      </c>
      <c r="L188" s="296"/>
      <c r="M188" s="109"/>
      <c r="N188" s="76">
        <f t="shared" si="11"/>
        <v>0</v>
      </c>
      <c r="O188" s="109"/>
      <c r="P188" s="109"/>
      <c r="Q188" s="76">
        <f t="shared" si="10"/>
        <v>0</v>
      </c>
    </row>
    <row r="189" spans="3:17" ht="14.25">
      <c r="C189" s="142"/>
      <c r="D189" s="775" t="s">
        <v>836</v>
      </c>
      <c r="E189" s="799"/>
      <c r="F189" s="296" t="s">
        <v>686</v>
      </c>
      <c r="G189" s="72">
        <v>1</v>
      </c>
      <c r="H189" s="72"/>
      <c r="I189" s="72">
        <v>1033.2</v>
      </c>
      <c r="J189" s="109">
        <f t="shared" si="14"/>
        <v>100</v>
      </c>
      <c r="K189" s="109">
        <f t="shared" si="13"/>
        <v>0</v>
      </c>
      <c r="L189" s="296"/>
      <c r="M189" s="109"/>
      <c r="N189" s="76">
        <f t="shared" si="11"/>
        <v>0</v>
      </c>
      <c r="O189" s="109"/>
      <c r="P189" s="109"/>
      <c r="Q189" s="76">
        <f t="shared" si="10"/>
        <v>0</v>
      </c>
    </row>
    <row r="190" spans="3:17" ht="14.25">
      <c r="C190" s="142"/>
      <c r="D190" s="782" t="s">
        <v>837</v>
      </c>
      <c r="E190" s="799"/>
      <c r="F190" s="296" t="s">
        <v>686</v>
      </c>
      <c r="G190" s="72">
        <v>15</v>
      </c>
      <c r="H190" s="72">
        <v>2016</v>
      </c>
      <c r="I190" s="72">
        <v>2661.8</v>
      </c>
      <c r="J190" s="109">
        <f t="shared" si="14"/>
        <v>100</v>
      </c>
      <c r="K190" s="109">
        <f t="shared" si="13"/>
        <v>0</v>
      </c>
      <c r="L190" s="296"/>
      <c r="M190" s="109"/>
      <c r="N190" s="76">
        <f t="shared" si="11"/>
        <v>0</v>
      </c>
      <c r="O190" s="109"/>
      <c r="P190" s="109"/>
      <c r="Q190" s="76">
        <f t="shared" si="10"/>
        <v>0</v>
      </c>
    </row>
    <row r="191" spans="3:17" ht="14.25">
      <c r="C191" s="142"/>
      <c r="D191" s="782" t="s">
        <v>838</v>
      </c>
      <c r="E191" s="799"/>
      <c r="F191" s="296" t="s">
        <v>686</v>
      </c>
      <c r="G191" s="72">
        <v>5</v>
      </c>
      <c r="H191" s="72">
        <v>2018</v>
      </c>
      <c r="I191" s="72">
        <v>1745</v>
      </c>
      <c r="J191" s="109">
        <f t="shared" si="14"/>
        <v>71.5</v>
      </c>
      <c r="K191" s="109">
        <f t="shared" si="13"/>
        <v>497.32500000000005</v>
      </c>
      <c r="L191" s="296"/>
      <c r="M191" s="109"/>
      <c r="N191" s="76">
        <f t="shared" si="11"/>
        <v>0</v>
      </c>
      <c r="O191" s="109"/>
      <c r="P191" s="109"/>
      <c r="Q191" s="76">
        <f t="shared" si="10"/>
        <v>0</v>
      </c>
    </row>
    <row r="192" spans="3:17" ht="14.25">
      <c r="C192" s="142"/>
      <c r="D192" s="765" t="s">
        <v>839</v>
      </c>
      <c r="E192" s="799"/>
      <c r="F192" s="296" t="s">
        <v>686</v>
      </c>
      <c r="G192" s="72">
        <v>38</v>
      </c>
      <c r="H192" s="72">
        <v>2018</v>
      </c>
      <c r="I192" s="72">
        <v>5084.4</v>
      </c>
      <c r="J192" s="109">
        <f t="shared" si="14"/>
        <v>71.5</v>
      </c>
      <c r="K192" s="109">
        <f t="shared" si="13"/>
        <v>1449.054</v>
      </c>
      <c r="L192" s="296"/>
      <c r="M192" s="109"/>
      <c r="N192" s="76">
        <f t="shared" si="11"/>
        <v>0</v>
      </c>
      <c r="O192" s="109"/>
      <c r="P192" s="109"/>
      <c r="Q192" s="76">
        <f t="shared" si="10"/>
        <v>0</v>
      </c>
    </row>
    <row r="193" spans="3:17" ht="14.25">
      <c r="C193" s="142"/>
      <c r="D193" s="776" t="s">
        <v>840</v>
      </c>
      <c r="E193" s="799"/>
      <c r="F193" s="296" t="s">
        <v>686</v>
      </c>
      <c r="G193" s="72">
        <v>28</v>
      </c>
      <c r="H193" s="72">
        <v>2018</v>
      </c>
      <c r="I193" s="72">
        <v>3746.4</v>
      </c>
      <c r="J193" s="109">
        <f t="shared" si="14"/>
        <v>71.5</v>
      </c>
      <c r="K193" s="109">
        <f t="shared" si="13"/>
        <v>1067.7240000000002</v>
      </c>
      <c r="L193" s="296"/>
      <c r="M193" s="109"/>
      <c r="N193" s="76">
        <f t="shared" si="11"/>
        <v>0</v>
      </c>
      <c r="O193" s="109"/>
      <c r="P193" s="109"/>
      <c r="Q193" s="76">
        <f t="shared" si="10"/>
        <v>0</v>
      </c>
    </row>
    <row r="194" spans="3:17" ht="14.25">
      <c r="C194" s="142"/>
      <c r="D194" s="801" t="s">
        <v>841</v>
      </c>
      <c r="E194" s="799"/>
      <c r="F194" s="296" t="s">
        <v>686</v>
      </c>
      <c r="G194" s="72">
        <v>5</v>
      </c>
      <c r="H194" s="72">
        <v>2017</v>
      </c>
      <c r="I194" s="72">
        <v>445</v>
      </c>
      <c r="J194" s="109">
        <f t="shared" si="14"/>
        <v>85.80000000000001</v>
      </c>
      <c r="K194" s="109">
        <f t="shared" si="13"/>
        <v>63.18999999999994</v>
      </c>
      <c r="L194" s="296"/>
      <c r="M194" s="109"/>
      <c r="N194" s="76">
        <f t="shared" si="11"/>
        <v>0</v>
      </c>
      <c r="O194" s="109"/>
      <c r="P194" s="109"/>
      <c r="Q194" s="76">
        <f t="shared" si="10"/>
        <v>0</v>
      </c>
    </row>
    <row r="195" spans="3:17" ht="14.25">
      <c r="C195" s="142"/>
      <c r="D195" s="801" t="s">
        <v>842</v>
      </c>
      <c r="E195" s="799"/>
      <c r="F195" s="296" t="s">
        <v>686</v>
      </c>
      <c r="G195" s="72">
        <v>1</v>
      </c>
      <c r="H195" s="72">
        <v>2017</v>
      </c>
      <c r="I195" s="72">
        <v>100</v>
      </c>
      <c r="J195" s="109">
        <f t="shared" si="14"/>
        <v>85.80000000000001</v>
      </c>
      <c r="K195" s="109">
        <f t="shared" si="13"/>
        <v>14.199999999999989</v>
      </c>
      <c r="L195" s="296"/>
      <c r="M195" s="109"/>
      <c r="N195" s="76">
        <f t="shared" si="11"/>
        <v>0</v>
      </c>
      <c r="O195" s="109"/>
      <c r="P195" s="109"/>
      <c r="Q195" s="76">
        <f t="shared" si="10"/>
        <v>0</v>
      </c>
    </row>
    <row r="196" spans="3:17" ht="14.25">
      <c r="C196" s="142"/>
      <c r="D196" s="776" t="s">
        <v>843</v>
      </c>
      <c r="E196" s="799"/>
      <c r="F196" s="296" t="s">
        <v>686</v>
      </c>
      <c r="G196" s="72">
        <v>2</v>
      </c>
      <c r="H196" s="72">
        <v>2019</v>
      </c>
      <c r="I196" s="72">
        <v>804</v>
      </c>
      <c r="J196" s="109">
        <f t="shared" si="14"/>
        <v>57.2</v>
      </c>
      <c r="K196" s="109">
        <f t="shared" si="13"/>
        <v>344.11199999999997</v>
      </c>
      <c r="L196" s="296"/>
      <c r="M196" s="109"/>
      <c r="N196" s="76">
        <f t="shared" si="11"/>
        <v>0</v>
      </c>
      <c r="O196" s="109"/>
      <c r="P196" s="109"/>
      <c r="Q196" s="76">
        <f t="shared" si="10"/>
        <v>0</v>
      </c>
    </row>
    <row r="197" spans="3:17" ht="14.25">
      <c r="C197" s="142"/>
      <c r="D197" s="776" t="s">
        <v>844</v>
      </c>
      <c r="E197" s="799"/>
      <c r="F197" s="296" t="s">
        <v>686</v>
      </c>
      <c r="G197" s="72">
        <v>7</v>
      </c>
      <c r="H197" s="72">
        <v>2019</v>
      </c>
      <c r="I197" s="72">
        <v>995.4</v>
      </c>
      <c r="J197" s="109">
        <f t="shared" si="14"/>
        <v>57.2</v>
      </c>
      <c r="K197" s="109">
        <f t="shared" si="13"/>
        <v>426.0311999999999</v>
      </c>
      <c r="L197" s="296"/>
      <c r="M197" s="109"/>
      <c r="N197" s="76">
        <f t="shared" si="11"/>
        <v>0</v>
      </c>
      <c r="O197" s="109"/>
      <c r="P197" s="109"/>
      <c r="Q197" s="76">
        <f t="shared" si="10"/>
        <v>0</v>
      </c>
    </row>
    <row r="198" spans="3:17" ht="14.25">
      <c r="C198" s="142"/>
      <c r="D198" s="776" t="s">
        <v>845</v>
      </c>
      <c r="E198" s="799"/>
      <c r="F198" s="296" t="s">
        <v>686</v>
      </c>
      <c r="G198" s="72">
        <v>12</v>
      </c>
      <c r="H198" s="72">
        <v>2019</v>
      </c>
      <c r="I198" s="72">
        <v>1195.2</v>
      </c>
      <c r="J198" s="109">
        <f t="shared" si="14"/>
        <v>57.2</v>
      </c>
      <c r="K198" s="109">
        <f t="shared" si="13"/>
        <v>511.5455999999999</v>
      </c>
      <c r="L198" s="296"/>
      <c r="M198" s="109"/>
      <c r="N198" s="76">
        <f t="shared" si="11"/>
        <v>0</v>
      </c>
      <c r="O198" s="109"/>
      <c r="P198" s="109"/>
      <c r="Q198" s="76">
        <f t="shared" si="10"/>
        <v>0</v>
      </c>
    </row>
    <row r="199" spans="3:17" ht="14.25">
      <c r="C199" s="142"/>
      <c r="D199" s="776" t="s">
        <v>846</v>
      </c>
      <c r="E199" s="799"/>
      <c r="F199" s="296" t="s">
        <v>686</v>
      </c>
      <c r="G199" s="72">
        <v>12</v>
      </c>
      <c r="H199" s="72">
        <v>2019</v>
      </c>
      <c r="I199" s="72">
        <v>3960</v>
      </c>
      <c r="J199" s="109">
        <f t="shared" si="14"/>
        <v>57.2</v>
      </c>
      <c r="K199" s="109">
        <f t="shared" si="13"/>
        <v>1694.8799999999997</v>
      </c>
      <c r="L199" s="296"/>
      <c r="M199" s="109"/>
      <c r="N199" s="76">
        <f t="shared" si="11"/>
        <v>0</v>
      </c>
      <c r="O199" s="109"/>
      <c r="P199" s="109"/>
      <c r="Q199" s="76">
        <f t="shared" si="10"/>
        <v>0</v>
      </c>
    </row>
    <row r="200" spans="3:17" ht="14.25">
      <c r="C200" s="142"/>
      <c r="D200" s="776" t="s">
        <v>847</v>
      </c>
      <c r="E200" s="799"/>
      <c r="F200" s="296" t="s">
        <v>686</v>
      </c>
      <c r="G200" s="72">
        <v>13</v>
      </c>
      <c r="H200" s="72">
        <v>2020</v>
      </c>
      <c r="I200" s="72">
        <v>531.96</v>
      </c>
      <c r="J200" s="109">
        <f t="shared" si="14"/>
        <v>42.900000000000006</v>
      </c>
      <c r="K200" s="109">
        <f t="shared" si="13"/>
        <v>303.74915999999996</v>
      </c>
      <c r="L200" s="296"/>
      <c r="M200" s="109"/>
      <c r="N200" s="76">
        <f t="shared" si="11"/>
        <v>0</v>
      </c>
      <c r="O200" s="109"/>
      <c r="P200" s="109"/>
      <c r="Q200" s="76">
        <f t="shared" si="10"/>
        <v>0</v>
      </c>
    </row>
    <row r="201" spans="3:17" ht="14.25">
      <c r="C201" s="142"/>
      <c r="D201" s="776" t="s">
        <v>848</v>
      </c>
      <c r="E201" s="799"/>
      <c r="F201" s="296" t="s">
        <v>686</v>
      </c>
      <c r="G201" s="72">
        <v>8</v>
      </c>
      <c r="H201" s="72">
        <v>2020</v>
      </c>
      <c r="I201" s="72">
        <v>1279.8</v>
      </c>
      <c r="J201" s="109">
        <f t="shared" si="14"/>
        <v>42.900000000000006</v>
      </c>
      <c r="K201" s="109">
        <f t="shared" si="13"/>
        <v>730.7657999999999</v>
      </c>
      <c r="L201" s="296"/>
      <c r="M201" s="109"/>
      <c r="N201" s="76">
        <f t="shared" si="11"/>
        <v>0</v>
      </c>
      <c r="O201" s="109"/>
      <c r="P201" s="109"/>
      <c r="Q201" s="76">
        <f t="shared" si="10"/>
        <v>0</v>
      </c>
    </row>
    <row r="202" spans="3:17" ht="14.25">
      <c r="C202" s="142"/>
      <c r="D202" s="781" t="s">
        <v>893</v>
      </c>
      <c r="E202" s="799"/>
      <c r="F202" s="296" t="s">
        <v>686</v>
      </c>
      <c r="G202" s="72">
        <v>1</v>
      </c>
      <c r="H202" s="72">
        <v>2008</v>
      </c>
      <c r="I202" s="72">
        <v>40.3</v>
      </c>
      <c r="J202" s="109">
        <f t="shared" si="14"/>
        <v>100</v>
      </c>
      <c r="K202" s="109">
        <f t="shared" si="13"/>
        <v>0</v>
      </c>
      <c r="L202" s="296"/>
      <c r="M202" s="109"/>
      <c r="N202" s="76">
        <f t="shared" si="11"/>
        <v>0</v>
      </c>
      <c r="O202" s="109"/>
      <c r="P202" s="109"/>
      <c r="Q202" s="76">
        <f t="shared" si="10"/>
        <v>0</v>
      </c>
    </row>
    <row r="203" spans="3:17" ht="14.25">
      <c r="C203" s="142"/>
      <c r="D203" s="776" t="s">
        <v>991</v>
      </c>
      <c r="E203" s="799"/>
      <c r="F203" s="296" t="s">
        <v>686</v>
      </c>
      <c r="G203" s="834">
        <v>20</v>
      </c>
      <c r="H203" s="72">
        <v>2021</v>
      </c>
      <c r="I203" s="72">
        <v>4298.4</v>
      </c>
      <c r="J203" s="109">
        <f t="shared" si="14"/>
        <v>28.6</v>
      </c>
      <c r="K203" s="109">
        <f t="shared" si="13"/>
        <v>3069.0575999999996</v>
      </c>
      <c r="L203" s="296"/>
      <c r="M203" s="109"/>
      <c r="N203" s="76">
        <f t="shared" si="11"/>
        <v>0</v>
      </c>
      <c r="O203" s="109"/>
      <c r="P203" s="109"/>
      <c r="Q203" s="76">
        <f t="shared" si="10"/>
        <v>0</v>
      </c>
    </row>
    <row r="204" spans="3:17" ht="14.25">
      <c r="C204" s="142"/>
      <c r="D204" s="814" t="s">
        <v>992</v>
      </c>
      <c r="E204" s="799"/>
      <c r="F204" s="296" t="s">
        <v>686</v>
      </c>
      <c r="G204" s="72">
        <v>5</v>
      </c>
      <c r="H204" s="72">
        <v>2021</v>
      </c>
      <c r="I204" s="72">
        <v>1049.4</v>
      </c>
      <c r="J204" s="109">
        <f t="shared" si="14"/>
        <v>28.6</v>
      </c>
      <c r="K204" s="109">
        <f t="shared" si="13"/>
        <v>749.2716</v>
      </c>
      <c r="L204" s="296"/>
      <c r="M204" s="109"/>
      <c r="N204" s="76">
        <f t="shared" si="11"/>
        <v>0</v>
      </c>
      <c r="O204" s="109"/>
      <c r="P204" s="109"/>
      <c r="Q204" s="76">
        <f t="shared" si="10"/>
        <v>0</v>
      </c>
    </row>
    <row r="205" spans="3:17" ht="14.25">
      <c r="C205" s="142"/>
      <c r="D205" s="880"/>
      <c r="E205" s="799"/>
      <c r="F205" s="296"/>
      <c r="G205" s="72"/>
      <c r="H205" s="72"/>
      <c r="I205" s="72"/>
      <c r="J205" s="109"/>
      <c r="K205" s="109"/>
      <c r="L205" s="296"/>
      <c r="M205" s="109"/>
      <c r="N205" s="76"/>
      <c r="O205" s="109"/>
      <c r="P205" s="109"/>
      <c r="Q205" s="76">
        <f t="shared" si="10"/>
        <v>0</v>
      </c>
    </row>
    <row r="206" spans="3:17" ht="14.25">
      <c r="C206" s="142"/>
      <c r="D206" s="109" t="s">
        <v>1134</v>
      </c>
      <c r="E206" s="799"/>
      <c r="F206" s="296"/>
      <c r="G206" s="72"/>
      <c r="H206" s="72"/>
      <c r="I206" s="72"/>
      <c r="J206" s="109"/>
      <c r="K206" s="109"/>
      <c r="L206" s="296"/>
      <c r="M206" s="109"/>
      <c r="N206" s="76"/>
      <c r="O206" s="109">
        <v>1</v>
      </c>
      <c r="P206" s="109">
        <v>880</v>
      </c>
      <c r="Q206" s="76">
        <f t="shared" si="10"/>
        <v>880</v>
      </c>
    </row>
    <row r="207" spans="3:17" ht="14.25">
      <c r="C207" s="142"/>
      <c r="D207" s="109" t="s">
        <v>1135</v>
      </c>
      <c r="E207" s="799"/>
      <c r="F207" s="296"/>
      <c r="G207" s="72"/>
      <c r="H207" s="72"/>
      <c r="I207" s="72"/>
      <c r="J207" s="109"/>
      <c r="K207" s="109"/>
      <c r="L207" s="296"/>
      <c r="M207" s="109"/>
      <c r="N207" s="76"/>
      <c r="O207" s="109">
        <v>20</v>
      </c>
      <c r="P207" s="109">
        <v>170</v>
      </c>
      <c r="Q207" s="76">
        <f t="shared" si="10"/>
        <v>3400</v>
      </c>
    </row>
    <row r="208" spans="3:17" ht="14.25">
      <c r="C208" s="142"/>
      <c r="D208" s="109" t="s">
        <v>1136</v>
      </c>
      <c r="E208" s="799"/>
      <c r="F208" s="296"/>
      <c r="G208" s="72"/>
      <c r="H208" s="72"/>
      <c r="I208" s="72"/>
      <c r="J208" s="109"/>
      <c r="K208" s="109"/>
      <c r="L208" s="296"/>
      <c r="M208" s="109"/>
      <c r="N208" s="76"/>
      <c r="O208" s="109">
        <v>15</v>
      </c>
      <c r="P208" s="109">
        <v>100</v>
      </c>
      <c r="Q208" s="76">
        <f t="shared" si="10"/>
        <v>1500</v>
      </c>
    </row>
    <row r="209" spans="3:17" ht="14.25">
      <c r="C209" s="142"/>
      <c r="D209" s="881"/>
      <c r="E209" s="799"/>
      <c r="F209" s="296"/>
      <c r="G209" s="72"/>
      <c r="H209" s="72"/>
      <c r="I209" s="72"/>
      <c r="J209" s="109"/>
      <c r="K209" s="109"/>
      <c r="L209" s="296"/>
      <c r="M209" s="109"/>
      <c r="N209" s="76"/>
      <c r="O209" s="109"/>
      <c r="P209" s="109"/>
      <c r="Q209" s="76">
        <f t="shared" si="10"/>
        <v>0</v>
      </c>
    </row>
    <row r="210" spans="1:17" ht="28.5">
      <c r="A210" s="697"/>
      <c r="B210" s="697"/>
      <c r="C210" s="695">
        <v>3</v>
      </c>
      <c r="D210" s="696" t="s">
        <v>564</v>
      </c>
      <c r="E210" s="696"/>
      <c r="F210" s="335"/>
      <c r="G210" s="698">
        <f>SUM(G211:G213)</f>
        <v>0</v>
      </c>
      <c r="H210" s="819"/>
      <c r="I210" s="819"/>
      <c r="J210" s="697"/>
      <c r="K210" s="697"/>
      <c r="L210" s="362">
        <f>SUM(L211:L213)</f>
        <v>0</v>
      </c>
      <c r="M210" s="697"/>
      <c r="N210" s="698">
        <f>SUM(N211:N213)</f>
        <v>0</v>
      </c>
      <c r="O210" s="698">
        <f>SUM(O211:O213)</f>
        <v>0</v>
      </c>
      <c r="P210" s="697"/>
      <c r="Q210" s="698">
        <f>SUM(Q211:Q213)</f>
        <v>0</v>
      </c>
    </row>
    <row r="211" spans="3:17" ht="14.25">
      <c r="C211" s="142"/>
      <c r="D211" s="115" t="s">
        <v>559</v>
      </c>
      <c r="E211" s="115"/>
      <c r="F211" s="296"/>
      <c r="G211" s="72"/>
      <c r="H211" s="72"/>
      <c r="I211" s="72"/>
      <c r="J211" s="109">
        <f>IF(($J$14-H211)*J$82&gt;100,100,($J$14-H211)*J$82)</f>
        <v>100</v>
      </c>
      <c r="K211" s="109">
        <f>IF(J211=100,0,I211-I211*J211%)</f>
        <v>0</v>
      </c>
      <c r="L211" s="296"/>
      <c r="M211" s="109"/>
      <c r="N211" s="76">
        <f>+L211*M211</f>
        <v>0</v>
      </c>
      <c r="O211" s="109"/>
      <c r="P211" s="109"/>
      <c r="Q211" s="76">
        <f>+O211*P211</f>
        <v>0</v>
      </c>
    </row>
    <row r="212" spans="3:17" ht="14.25">
      <c r="C212" s="142"/>
      <c r="D212" s="115" t="s">
        <v>559</v>
      </c>
      <c r="E212" s="115"/>
      <c r="F212" s="296"/>
      <c r="G212" s="72"/>
      <c r="H212" s="72"/>
      <c r="I212" s="72"/>
      <c r="J212" s="109">
        <f>IF(($J$14-H212)*J$82&gt;100,100,($J$14-H212)*J$82)</f>
        <v>100</v>
      </c>
      <c r="K212" s="109">
        <f>IF(J212=100,0,I212-I212*J212%)</f>
        <v>0</v>
      </c>
      <c r="L212" s="296"/>
      <c r="M212" s="109"/>
      <c r="N212" s="76">
        <f>+L212*M212</f>
        <v>0</v>
      </c>
      <c r="O212" s="109"/>
      <c r="P212" s="109"/>
      <c r="Q212" s="76">
        <f>+O212*P212</f>
        <v>0</v>
      </c>
    </row>
    <row r="213" spans="3:17" ht="14.25">
      <c r="C213" s="142"/>
      <c r="D213" s="115" t="s">
        <v>559</v>
      </c>
      <c r="E213" s="115"/>
      <c r="F213" s="296"/>
      <c r="G213" s="72"/>
      <c r="H213" s="72"/>
      <c r="I213" s="72"/>
      <c r="J213" s="109">
        <f>IF(($J$14-H213)*J$82&gt;100,100,($J$14-H213)*J$82)</f>
        <v>100</v>
      </c>
      <c r="K213" s="109">
        <f>IF(J213=100,0,I213-I213*J213%)</f>
        <v>0</v>
      </c>
      <c r="L213" s="296"/>
      <c r="M213" s="109"/>
      <c r="N213" s="76">
        <f>+L213*M213</f>
        <v>0</v>
      </c>
      <c r="O213" s="109"/>
      <c r="P213" s="109"/>
      <c r="Q213" s="76">
        <f>+O213*P213</f>
        <v>0</v>
      </c>
    </row>
    <row r="214" spans="1:17" ht="30" customHeight="1">
      <c r="A214" s="723"/>
      <c r="B214" s="723"/>
      <c r="C214" s="722">
        <v>619</v>
      </c>
      <c r="D214" s="707" t="s">
        <v>573</v>
      </c>
      <c r="E214" s="708">
        <v>8</v>
      </c>
      <c r="F214" s="296"/>
      <c r="G214" s="694">
        <f>SUM(G215:G275)</f>
        <v>144</v>
      </c>
      <c r="H214" s="72"/>
      <c r="I214" s="72"/>
      <c r="J214" s="728">
        <v>12.5</v>
      </c>
      <c r="K214" s="109"/>
      <c r="L214" s="362">
        <f>SUM(L215:L232)</f>
        <v>0</v>
      </c>
      <c r="M214" s="109"/>
      <c r="N214" s="694">
        <f>SUM(N215:N232)</f>
        <v>0</v>
      </c>
      <c r="O214" s="694">
        <f>SUM(O215:O232)</f>
        <v>0</v>
      </c>
      <c r="P214" s="109"/>
      <c r="Q214" s="694">
        <f>SUM(Q215:Q278)</f>
        <v>2400</v>
      </c>
    </row>
    <row r="215" spans="3:17" ht="14.25">
      <c r="C215" s="142"/>
      <c r="D215" s="756" t="s">
        <v>881</v>
      </c>
      <c r="E215" s="115"/>
      <c r="F215" s="296" t="s">
        <v>686</v>
      </c>
      <c r="G215" s="757">
        <v>13</v>
      </c>
      <c r="H215" s="72">
        <v>2008</v>
      </c>
      <c r="I215" s="822">
        <v>406.9</v>
      </c>
      <c r="J215" s="109">
        <f aca="true" t="shared" si="15" ref="J215:J246">IF(($J$14-H215)*J$214&gt;100,100,($J$14-H215)*J$214)</f>
        <v>100</v>
      </c>
      <c r="K215" s="109">
        <f>IF(J215=100,0,I215-I215*J215%)</f>
        <v>0</v>
      </c>
      <c r="L215" s="296"/>
      <c r="M215" s="109"/>
      <c r="N215" s="76">
        <f>+L215*M215</f>
        <v>0</v>
      </c>
      <c r="O215" s="109"/>
      <c r="P215" s="109"/>
      <c r="Q215" s="76">
        <f>+O215*P215</f>
        <v>0</v>
      </c>
    </row>
    <row r="216" spans="3:17" ht="14.25">
      <c r="C216" s="142"/>
      <c r="D216" s="756" t="s">
        <v>882</v>
      </c>
      <c r="E216" s="115"/>
      <c r="F216" s="296" t="s">
        <v>686</v>
      </c>
      <c r="G216" s="757">
        <v>8</v>
      </c>
      <c r="H216" s="72">
        <v>2008</v>
      </c>
      <c r="I216" s="822">
        <v>939.2</v>
      </c>
      <c r="J216" s="109">
        <f t="shared" si="15"/>
        <v>100</v>
      </c>
      <c r="K216" s="109">
        <f>IF(J216=100,0,I216-I216*J216%)</f>
        <v>0</v>
      </c>
      <c r="L216" s="296"/>
      <c r="M216" s="109"/>
      <c r="N216" s="76">
        <f aca="true" t="shared" si="16" ref="N216:N275">+L216*M216</f>
        <v>0</v>
      </c>
      <c r="O216" s="109"/>
      <c r="P216" s="109"/>
      <c r="Q216" s="76">
        <f aca="true" t="shared" si="17" ref="Q216:Q278">+O216*P216</f>
        <v>0</v>
      </c>
    </row>
    <row r="217" spans="3:17" ht="14.25">
      <c r="C217" s="142"/>
      <c r="D217" s="756" t="s">
        <v>883</v>
      </c>
      <c r="E217" s="115"/>
      <c r="F217" s="296" t="s">
        <v>686</v>
      </c>
      <c r="G217" s="757">
        <v>4</v>
      </c>
      <c r="H217" s="72">
        <v>2008</v>
      </c>
      <c r="I217" s="822">
        <v>455.2</v>
      </c>
      <c r="J217" s="109">
        <f t="shared" si="15"/>
        <v>100</v>
      </c>
      <c r="K217" s="109">
        <f>IF(J217=100,0,I217-I217*J217%)</f>
        <v>0</v>
      </c>
      <c r="L217" s="296"/>
      <c r="M217" s="109"/>
      <c r="N217" s="76">
        <f t="shared" si="16"/>
        <v>0</v>
      </c>
      <c r="O217" s="109"/>
      <c r="P217" s="109"/>
      <c r="Q217" s="76">
        <f t="shared" si="17"/>
        <v>0</v>
      </c>
    </row>
    <row r="218" spans="3:17" ht="15">
      <c r="C218" s="142"/>
      <c r="D218" s="756" t="s">
        <v>885</v>
      </c>
      <c r="E218" s="115"/>
      <c r="F218" s="296" t="s">
        <v>686</v>
      </c>
      <c r="G218" s="72">
        <v>2</v>
      </c>
      <c r="H218" s="72">
        <v>2008</v>
      </c>
      <c r="I218" s="72">
        <v>7749.4</v>
      </c>
      <c r="J218" s="109">
        <f t="shared" si="15"/>
        <v>100</v>
      </c>
      <c r="K218" s="109">
        <f>IF(J218=100,0,I218-I218*J218%)</f>
        <v>0</v>
      </c>
      <c r="L218" s="296"/>
      <c r="M218" s="109"/>
      <c r="N218" s="76">
        <f t="shared" si="16"/>
        <v>0</v>
      </c>
      <c r="O218" s="109"/>
      <c r="P218" s="109"/>
      <c r="Q218" s="76">
        <f t="shared" si="17"/>
        <v>0</v>
      </c>
    </row>
    <row r="219" spans="3:17" ht="14.25">
      <c r="C219" s="142"/>
      <c r="D219" s="756" t="s">
        <v>886</v>
      </c>
      <c r="E219" s="115"/>
      <c r="F219" s="296" t="s">
        <v>686</v>
      </c>
      <c r="G219" s="757">
        <v>1</v>
      </c>
      <c r="H219" s="72">
        <v>2008</v>
      </c>
      <c r="I219" s="822">
        <v>53.46</v>
      </c>
      <c r="J219" s="109">
        <f t="shared" si="15"/>
        <v>100</v>
      </c>
      <c r="K219" s="109">
        <f aca="true" t="shared" si="18" ref="K219:K229">IF(J219=100,0,I219-I219*J219%)</f>
        <v>0</v>
      </c>
      <c r="L219" s="296"/>
      <c r="M219" s="109"/>
      <c r="N219" s="76">
        <f t="shared" si="16"/>
        <v>0</v>
      </c>
      <c r="O219" s="109"/>
      <c r="P219" s="109"/>
      <c r="Q219" s="76">
        <f t="shared" si="17"/>
        <v>0</v>
      </c>
    </row>
    <row r="220" spans="3:17" ht="14.25">
      <c r="C220" s="142"/>
      <c r="D220" s="756" t="s">
        <v>887</v>
      </c>
      <c r="E220" s="115"/>
      <c r="F220" s="296" t="s">
        <v>686</v>
      </c>
      <c r="G220" s="757">
        <v>1</v>
      </c>
      <c r="H220" s="72">
        <v>2008</v>
      </c>
      <c r="I220" s="822">
        <v>213.5</v>
      </c>
      <c r="J220" s="109">
        <f t="shared" si="15"/>
        <v>100</v>
      </c>
      <c r="K220" s="109">
        <f t="shared" si="18"/>
        <v>0</v>
      </c>
      <c r="L220" s="296"/>
      <c r="M220" s="109"/>
      <c r="N220" s="76">
        <f t="shared" si="16"/>
        <v>0</v>
      </c>
      <c r="O220" s="109"/>
      <c r="P220" s="109"/>
      <c r="Q220" s="76">
        <f t="shared" si="17"/>
        <v>0</v>
      </c>
    </row>
    <row r="221" spans="3:17" ht="14.25">
      <c r="C221" s="142"/>
      <c r="D221" s="756" t="s">
        <v>888</v>
      </c>
      <c r="E221" s="115"/>
      <c r="F221" s="296" t="s">
        <v>686</v>
      </c>
      <c r="G221" s="757">
        <v>2</v>
      </c>
      <c r="H221" s="72">
        <v>2008</v>
      </c>
      <c r="I221" s="822">
        <v>423.4</v>
      </c>
      <c r="J221" s="109">
        <f t="shared" si="15"/>
        <v>100</v>
      </c>
      <c r="K221" s="109">
        <f t="shared" si="18"/>
        <v>0</v>
      </c>
      <c r="L221" s="296"/>
      <c r="M221" s="109"/>
      <c r="N221" s="76">
        <f t="shared" si="16"/>
        <v>0</v>
      </c>
      <c r="O221" s="109"/>
      <c r="P221" s="109"/>
      <c r="Q221" s="76">
        <f t="shared" si="17"/>
        <v>0</v>
      </c>
    </row>
    <row r="222" spans="3:17" ht="14.25">
      <c r="C222" s="142"/>
      <c r="D222" s="781" t="s">
        <v>889</v>
      </c>
      <c r="E222" s="115"/>
      <c r="F222" s="296" t="s">
        <v>686</v>
      </c>
      <c r="G222" s="757">
        <v>2</v>
      </c>
      <c r="H222" s="72">
        <v>2008</v>
      </c>
      <c r="I222" s="822">
        <v>106.92</v>
      </c>
      <c r="J222" s="109">
        <f t="shared" si="15"/>
        <v>100</v>
      </c>
      <c r="K222" s="109">
        <f t="shared" si="18"/>
        <v>0</v>
      </c>
      <c r="L222" s="296"/>
      <c r="M222" s="109"/>
      <c r="N222" s="76">
        <f t="shared" si="16"/>
        <v>0</v>
      </c>
      <c r="O222" s="109"/>
      <c r="P222" s="109"/>
      <c r="Q222" s="76">
        <f t="shared" si="17"/>
        <v>0</v>
      </c>
    </row>
    <row r="223" spans="3:17" ht="14.25">
      <c r="C223" s="142"/>
      <c r="D223" s="756" t="s">
        <v>890</v>
      </c>
      <c r="E223" s="115"/>
      <c r="F223" s="296" t="s">
        <v>686</v>
      </c>
      <c r="G223" s="757">
        <v>2</v>
      </c>
      <c r="H223" s="72">
        <v>2008</v>
      </c>
      <c r="I223" s="822">
        <v>48.44</v>
      </c>
      <c r="J223" s="109">
        <f t="shared" si="15"/>
        <v>100</v>
      </c>
      <c r="K223" s="109">
        <f t="shared" si="18"/>
        <v>0</v>
      </c>
      <c r="L223" s="296"/>
      <c r="M223" s="109"/>
      <c r="N223" s="76">
        <f t="shared" si="16"/>
        <v>0</v>
      </c>
      <c r="O223" s="109"/>
      <c r="P223" s="109"/>
      <c r="Q223" s="76">
        <f t="shared" si="17"/>
        <v>0</v>
      </c>
    </row>
    <row r="224" spans="3:17" ht="14.25">
      <c r="C224" s="142"/>
      <c r="D224" s="781" t="s">
        <v>891</v>
      </c>
      <c r="E224" s="115"/>
      <c r="F224" s="296" t="s">
        <v>686</v>
      </c>
      <c r="G224" s="757">
        <v>1</v>
      </c>
      <c r="H224" s="72">
        <v>2008</v>
      </c>
      <c r="I224" s="822">
        <v>456.2</v>
      </c>
      <c r="J224" s="109">
        <f t="shared" si="15"/>
        <v>100</v>
      </c>
      <c r="K224" s="109">
        <f t="shared" si="18"/>
        <v>0</v>
      </c>
      <c r="L224" s="296"/>
      <c r="M224" s="109"/>
      <c r="N224" s="76">
        <f t="shared" si="16"/>
        <v>0</v>
      </c>
      <c r="O224" s="109"/>
      <c r="P224" s="109"/>
      <c r="Q224" s="76">
        <f t="shared" si="17"/>
        <v>0</v>
      </c>
    </row>
    <row r="225" spans="3:17" ht="14.25">
      <c r="C225" s="142"/>
      <c r="D225" s="781" t="s">
        <v>894</v>
      </c>
      <c r="E225" s="115"/>
      <c r="F225" s="296" t="s">
        <v>686</v>
      </c>
      <c r="G225" s="757">
        <v>1</v>
      </c>
      <c r="H225" s="72">
        <v>2008</v>
      </c>
      <c r="I225" s="72">
        <v>662.5</v>
      </c>
      <c r="J225" s="109">
        <f t="shared" si="15"/>
        <v>100</v>
      </c>
      <c r="K225" s="109">
        <f t="shared" si="18"/>
        <v>0</v>
      </c>
      <c r="L225" s="296"/>
      <c r="M225" s="109"/>
      <c r="N225" s="76">
        <f t="shared" si="16"/>
        <v>0</v>
      </c>
      <c r="O225" s="109"/>
      <c r="P225" s="109"/>
      <c r="Q225" s="76">
        <f t="shared" si="17"/>
        <v>0</v>
      </c>
    </row>
    <row r="226" spans="3:17" ht="14.25">
      <c r="C226" s="142"/>
      <c r="D226" s="781" t="s">
        <v>895</v>
      </c>
      <c r="E226" s="115"/>
      <c r="F226" s="296" t="s">
        <v>686</v>
      </c>
      <c r="G226" s="757">
        <v>1</v>
      </c>
      <c r="H226" s="72">
        <v>2008</v>
      </c>
      <c r="I226" s="72">
        <v>313</v>
      </c>
      <c r="J226" s="109">
        <f t="shared" si="15"/>
        <v>100</v>
      </c>
      <c r="K226" s="109">
        <f t="shared" si="18"/>
        <v>0</v>
      </c>
      <c r="L226" s="296"/>
      <c r="M226" s="109"/>
      <c r="N226" s="76">
        <f t="shared" si="16"/>
        <v>0</v>
      </c>
      <c r="O226" s="109"/>
      <c r="P226" s="109"/>
      <c r="Q226" s="76">
        <f t="shared" si="17"/>
        <v>0</v>
      </c>
    </row>
    <row r="227" spans="3:17" ht="14.25">
      <c r="C227" s="142"/>
      <c r="D227" s="756" t="s">
        <v>898</v>
      </c>
      <c r="E227" s="115"/>
      <c r="F227" s="296" t="s">
        <v>686</v>
      </c>
      <c r="G227" s="72">
        <v>1</v>
      </c>
      <c r="H227" s="72">
        <v>2008</v>
      </c>
      <c r="I227" s="72">
        <v>152.5</v>
      </c>
      <c r="J227" s="109">
        <f t="shared" si="15"/>
        <v>100</v>
      </c>
      <c r="K227" s="109">
        <f t="shared" si="18"/>
        <v>0</v>
      </c>
      <c r="L227" s="296"/>
      <c r="M227" s="109"/>
      <c r="N227" s="76">
        <f t="shared" si="16"/>
        <v>0</v>
      </c>
      <c r="O227" s="109"/>
      <c r="P227" s="109"/>
      <c r="Q227" s="76">
        <f t="shared" si="17"/>
        <v>0</v>
      </c>
    </row>
    <row r="228" spans="3:17" ht="14.25">
      <c r="C228" s="142"/>
      <c r="D228" s="756" t="s">
        <v>902</v>
      </c>
      <c r="E228" s="115"/>
      <c r="F228" s="296" t="s">
        <v>686</v>
      </c>
      <c r="G228" s="72">
        <v>1</v>
      </c>
      <c r="H228" s="72">
        <v>2007</v>
      </c>
      <c r="I228" s="72">
        <v>99</v>
      </c>
      <c r="J228" s="109">
        <f t="shared" si="15"/>
        <v>100</v>
      </c>
      <c r="K228" s="109">
        <f t="shared" si="18"/>
        <v>0</v>
      </c>
      <c r="L228" s="296"/>
      <c r="M228" s="109"/>
      <c r="N228" s="76">
        <f t="shared" si="16"/>
        <v>0</v>
      </c>
      <c r="O228" s="109"/>
      <c r="P228" s="109"/>
      <c r="Q228" s="76">
        <f t="shared" si="17"/>
        <v>0</v>
      </c>
    </row>
    <row r="229" spans="3:17" ht="14.25">
      <c r="C229" s="142"/>
      <c r="D229" s="765" t="s">
        <v>912</v>
      </c>
      <c r="E229" s="115"/>
      <c r="F229" s="296" t="s">
        <v>686</v>
      </c>
      <c r="G229" s="72">
        <v>1</v>
      </c>
      <c r="H229" s="72">
        <v>2004</v>
      </c>
      <c r="I229" s="72">
        <v>1092.7</v>
      </c>
      <c r="J229" s="109">
        <f t="shared" si="15"/>
        <v>100</v>
      </c>
      <c r="K229" s="109">
        <f t="shared" si="18"/>
        <v>0</v>
      </c>
      <c r="L229" s="296"/>
      <c r="M229" s="109"/>
      <c r="N229" s="76">
        <f t="shared" si="16"/>
        <v>0</v>
      </c>
      <c r="O229" s="109"/>
      <c r="P229" s="109"/>
      <c r="Q229" s="76">
        <f t="shared" si="17"/>
        <v>0</v>
      </c>
    </row>
    <row r="230" spans="3:17" ht="14.25">
      <c r="C230" s="142"/>
      <c r="D230" s="765" t="s">
        <v>914</v>
      </c>
      <c r="E230" s="115"/>
      <c r="F230" s="296" t="s">
        <v>686</v>
      </c>
      <c r="G230" s="72">
        <v>1</v>
      </c>
      <c r="H230" s="72">
        <v>2009</v>
      </c>
      <c r="I230" s="822">
        <v>219.32</v>
      </c>
      <c r="J230" s="109">
        <f t="shared" si="15"/>
        <v>100</v>
      </c>
      <c r="K230" s="109">
        <f>IF(J230=100,0,I230-I230*J230%)</f>
        <v>0</v>
      </c>
      <c r="L230" s="296"/>
      <c r="M230" s="109"/>
      <c r="N230" s="76">
        <f t="shared" si="16"/>
        <v>0</v>
      </c>
      <c r="O230" s="109"/>
      <c r="P230" s="109"/>
      <c r="Q230" s="76">
        <f t="shared" si="17"/>
        <v>0</v>
      </c>
    </row>
    <row r="231" spans="3:17" ht="14.25">
      <c r="C231" s="142"/>
      <c r="D231" s="765" t="s">
        <v>927</v>
      </c>
      <c r="E231" s="115"/>
      <c r="F231" s="296" t="s">
        <v>686</v>
      </c>
      <c r="G231" s="72">
        <v>1</v>
      </c>
      <c r="H231" s="72">
        <v>2013</v>
      </c>
      <c r="I231" s="822">
        <v>198</v>
      </c>
      <c r="J231" s="109">
        <f t="shared" si="15"/>
        <v>100</v>
      </c>
      <c r="K231" s="109">
        <f>IF(J231=100,0,I231-I231*J231%)</f>
        <v>0</v>
      </c>
      <c r="L231" s="296"/>
      <c r="M231" s="109"/>
      <c r="N231" s="76">
        <f t="shared" si="16"/>
        <v>0</v>
      </c>
      <c r="O231" s="109"/>
      <c r="P231" s="109"/>
      <c r="Q231" s="76">
        <f t="shared" si="17"/>
        <v>0</v>
      </c>
    </row>
    <row r="232" spans="3:17" ht="14.25">
      <c r="C232" s="142"/>
      <c r="D232" s="800" t="s">
        <v>915</v>
      </c>
      <c r="E232" s="115"/>
      <c r="F232" s="296" t="s">
        <v>686</v>
      </c>
      <c r="G232" s="72">
        <v>1</v>
      </c>
      <c r="H232" s="72">
        <v>2009</v>
      </c>
      <c r="I232" s="822">
        <v>275.389</v>
      </c>
      <c r="J232" s="109">
        <f t="shared" si="15"/>
        <v>100</v>
      </c>
      <c r="K232" s="109">
        <f>IF(J232=100,0,I232-I232*J232%)</f>
        <v>0</v>
      </c>
      <c r="L232" s="296"/>
      <c r="M232" s="109"/>
      <c r="N232" s="76">
        <f t="shared" si="16"/>
        <v>0</v>
      </c>
      <c r="O232" s="109"/>
      <c r="P232" s="109"/>
      <c r="Q232" s="76">
        <f t="shared" si="17"/>
        <v>0</v>
      </c>
    </row>
    <row r="233" spans="3:17" ht="14.25">
      <c r="C233" s="142"/>
      <c r="D233" s="765" t="s">
        <v>916</v>
      </c>
      <c r="E233" s="799"/>
      <c r="F233" s="296" t="s">
        <v>686</v>
      </c>
      <c r="G233" s="72">
        <v>1</v>
      </c>
      <c r="H233" s="72">
        <v>2009</v>
      </c>
      <c r="I233" s="822">
        <v>15</v>
      </c>
      <c r="J233" s="109">
        <f t="shared" si="15"/>
        <v>100</v>
      </c>
      <c r="K233" s="109">
        <f>IF(J233=100,0,I233-I233*J233%)</f>
        <v>0</v>
      </c>
      <c r="L233" s="296"/>
      <c r="M233" s="109"/>
      <c r="N233" s="76">
        <f t="shared" si="16"/>
        <v>0</v>
      </c>
      <c r="O233" s="109"/>
      <c r="P233" s="109"/>
      <c r="Q233" s="76">
        <f t="shared" si="17"/>
        <v>0</v>
      </c>
    </row>
    <row r="234" spans="3:17" ht="27">
      <c r="C234" s="142"/>
      <c r="D234" s="765" t="s">
        <v>917</v>
      </c>
      <c r="E234" s="799"/>
      <c r="F234" s="296" t="s">
        <v>686</v>
      </c>
      <c r="G234" s="72">
        <v>1</v>
      </c>
      <c r="H234" s="72">
        <v>2009</v>
      </c>
      <c r="I234" s="825">
        <v>263.542</v>
      </c>
      <c r="J234" s="109">
        <f t="shared" si="15"/>
        <v>100</v>
      </c>
      <c r="K234" s="109">
        <f>IF(J234=100,0,I234-I234*J234%)</f>
        <v>0</v>
      </c>
      <c r="L234" s="296"/>
      <c r="M234" s="109"/>
      <c r="N234" s="76">
        <f t="shared" si="16"/>
        <v>0</v>
      </c>
      <c r="O234" s="109"/>
      <c r="P234" s="109"/>
      <c r="Q234" s="76">
        <f t="shared" si="17"/>
        <v>0</v>
      </c>
    </row>
    <row r="235" spans="3:17" ht="27">
      <c r="C235" s="142"/>
      <c r="D235" s="765" t="s">
        <v>919</v>
      </c>
      <c r="E235" s="799"/>
      <c r="F235" s="296" t="s">
        <v>686</v>
      </c>
      <c r="G235" s="767">
        <v>1</v>
      </c>
      <c r="H235" s="72">
        <v>2009</v>
      </c>
      <c r="I235" s="825">
        <v>242.9</v>
      </c>
      <c r="J235" s="109">
        <f t="shared" si="15"/>
        <v>100</v>
      </c>
      <c r="K235" s="109">
        <f aca="true" t="shared" si="19" ref="K235:K268">IF(J235=100,0,I235-I235*J235%)</f>
        <v>0</v>
      </c>
      <c r="L235" s="296"/>
      <c r="M235" s="109"/>
      <c r="N235" s="76">
        <f t="shared" si="16"/>
        <v>0</v>
      </c>
      <c r="O235" s="109"/>
      <c r="P235" s="109"/>
      <c r="Q235" s="76">
        <f t="shared" si="17"/>
        <v>0</v>
      </c>
    </row>
    <row r="236" spans="3:17" ht="40.5">
      <c r="C236" s="142"/>
      <c r="D236" s="765" t="s">
        <v>920</v>
      </c>
      <c r="E236" s="799"/>
      <c r="F236" s="296" t="s">
        <v>686</v>
      </c>
      <c r="G236" s="767">
        <v>1</v>
      </c>
      <c r="H236" s="72">
        <v>2009</v>
      </c>
      <c r="I236" s="825">
        <v>81.661</v>
      </c>
      <c r="J236" s="109">
        <f t="shared" si="15"/>
        <v>100</v>
      </c>
      <c r="K236" s="109">
        <f t="shared" si="19"/>
        <v>0</v>
      </c>
      <c r="L236" s="296"/>
      <c r="M236" s="109"/>
      <c r="N236" s="76">
        <f t="shared" si="16"/>
        <v>0</v>
      </c>
      <c r="O236" s="109"/>
      <c r="P236" s="109"/>
      <c r="Q236" s="76">
        <f t="shared" si="17"/>
        <v>0</v>
      </c>
    </row>
    <row r="237" spans="3:17" ht="14.25">
      <c r="C237" s="142"/>
      <c r="D237" s="765" t="s">
        <v>914</v>
      </c>
      <c r="E237" s="799"/>
      <c r="F237" s="296" t="s">
        <v>686</v>
      </c>
      <c r="G237" s="767">
        <v>1</v>
      </c>
      <c r="H237" s="72">
        <v>2009</v>
      </c>
      <c r="I237" s="825">
        <v>147.53</v>
      </c>
      <c r="J237" s="109">
        <f t="shared" si="15"/>
        <v>100</v>
      </c>
      <c r="K237" s="109">
        <f t="shared" si="19"/>
        <v>0</v>
      </c>
      <c r="L237" s="296"/>
      <c r="M237" s="109"/>
      <c r="N237" s="76">
        <f t="shared" si="16"/>
        <v>0</v>
      </c>
      <c r="O237" s="109"/>
      <c r="P237" s="109"/>
      <c r="Q237" s="76">
        <f t="shared" si="17"/>
        <v>0</v>
      </c>
    </row>
    <row r="238" spans="3:17" ht="27">
      <c r="C238" s="142"/>
      <c r="D238" s="765" t="s">
        <v>917</v>
      </c>
      <c r="E238" s="799"/>
      <c r="F238" s="296" t="s">
        <v>686</v>
      </c>
      <c r="G238" s="767">
        <v>1</v>
      </c>
      <c r="H238" s="72">
        <v>2009</v>
      </c>
      <c r="I238" s="825">
        <v>263.542</v>
      </c>
      <c r="J238" s="109">
        <f t="shared" si="15"/>
        <v>100</v>
      </c>
      <c r="K238" s="109">
        <f t="shared" si="19"/>
        <v>0</v>
      </c>
      <c r="L238" s="296"/>
      <c r="M238" s="109"/>
      <c r="N238" s="76">
        <f t="shared" si="16"/>
        <v>0</v>
      </c>
      <c r="O238" s="109"/>
      <c r="P238" s="109"/>
      <c r="Q238" s="76">
        <f t="shared" si="17"/>
        <v>0</v>
      </c>
    </row>
    <row r="239" spans="3:17" ht="27">
      <c r="C239" s="142"/>
      <c r="D239" s="765" t="s">
        <v>921</v>
      </c>
      <c r="E239" s="799"/>
      <c r="F239" s="296" t="s">
        <v>686</v>
      </c>
      <c r="G239" s="72">
        <v>1</v>
      </c>
      <c r="H239" s="72">
        <v>2009</v>
      </c>
      <c r="I239" s="822">
        <v>1592.033</v>
      </c>
      <c r="J239" s="109">
        <f t="shared" si="15"/>
        <v>100</v>
      </c>
      <c r="K239" s="109">
        <f t="shared" si="19"/>
        <v>0</v>
      </c>
      <c r="L239" s="296"/>
      <c r="M239" s="109"/>
      <c r="N239" s="76">
        <f t="shared" si="16"/>
        <v>0</v>
      </c>
      <c r="O239" s="109"/>
      <c r="P239" s="109"/>
      <c r="Q239" s="76">
        <f t="shared" si="17"/>
        <v>0</v>
      </c>
    </row>
    <row r="240" spans="3:17" ht="14.25">
      <c r="C240" s="142"/>
      <c r="D240" s="800" t="s">
        <v>922</v>
      </c>
      <c r="E240" s="799"/>
      <c r="F240" s="296" t="s">
        <v>686</v>
      </c>
      <c r="G240" s="72">
        <v>1</v>
      </c>
      <c r="H240" s="72">
        <v>2009</v>
      </c>
      <c r="I240" s="822">
        <v>214.372</v>
      </c>
      <c r="J240" s="109">
        <f t="shared" si="15"/>
        <v>100</v>
      </c>
      <c r="K240" s="109">
        <f t="shared" si="19"/>
        <v>0</v>
      </c>
      <c r="L240" s="296"/>
      <c r="M240" s="109"/>
      <c r="N240" s="76">
        <f t="shared" si="16"/>
        <v>0</v>
      </c>
      <c r="O240" s="109"/>
      <c r="P240" s="109"/>
      <c r="Q240" s="76">
        <f t="shared" si="17"/>
        <v>0</v>
      </c>
    </row>
    <row r="241" spans="3:17" ht="14.25">
      <c r="C241" s="142"/>
      <c r="D241" s="800" t="s">
        <v>924</v>
      </c>
      <c r="E241" s="799"/>
      <c r="F241" s="296" t="s">
        <v>686</v>
      </c>
      <c r="G241" s="767">
        <v>1</v>
      </c>
      <c r="H241" s="72">
        <v>2009</v>
      </c>
      <c r="I241" s="822">
        <v>27.457</v>
      </c>
      <c r="J241" s="109">
        <f t="shared" si="15"/>
        <v>100</v>
      </c>
      <c r="K241" s="109">
        <f t="shared" si="19"/>
        <v>0</v>
      </c>
      <c r="L241" s="296"/>
      <c r="M241" s="109"/>
      <c r="N241" s="76">
        <f t="shared" si="16"/>
        <v>0</v>
      </c>
      <c r="O241" s="109"/>
      <c r="P241" s="109"/>
      <c r="Q241" s="76">
        <f t="shared" si="17"/>
        <v>0</v>
      </c>
    </row>
    <row r="242" spans="3:17" ht="27">
      <c r="C242" s="142"/>
      <c r="D242" s="765" t="s">
        <v>919</v>
      </c>
      <c r="E242" s="799"/>
      <c r="F242" s="296" t="s">
        <v>686</v>
      </c>
      <c r="G242" s="767">
        <v>1</v>
      </c>
      <c r="H242" s="72">
        <v>2009</v>
      </c>
      <c r="I242" s="822">
        <v>262.271</v>
      </c>
      <c r="J242" s="109">
        <f t="shared" si="15"/>
        <v>100</v>
      </c>
      <c r="K242" s="109">
        <f t="shared" si="19"/>
        <v>0</v>
      </c>
      <c r="L242" s="296"/>
      <c r="M242" s="109"/>
      <c r="N242" s="76">
        <f t="shared" si="16"/>
        <v>0</v>
      </c>
      <c r="O242" s="109"/>
      <c r="P242" s="109"/>
      <c r="Q242" s="76">
        <f t="shared" si="17"/>
        <v>0</v>
      </c>
    </row>
    <row r="243" spans="3:17" ht="40.5">
      <c r="C243" s="142"/>
      <c r="D243" s="765" t="s">
        <v>920</v>
      </c>
      <c r="E243" s="799"/>
      <c r="F243" s="296" t="s">
        <v>686</v>
      </c>
      <c r="G243" s="767">
        <v>2</v>
      </c>
      <c r="H243" s="72">
        <v>2009</v>
      </c>
      <c r="I243" s="822">
        <v>163.322</v>
      </c>
      <c r="J243" s="109">
        <f t="shared" si="15"/>
        <v>100</v>
      </c>
      <c r="K243" s="109">
        <f t="shared" si="19"/>
        <v>0</v>
      </c>
      <c r="L243" s="296"/>
      <c r="M243" s="109"/>
      <c r="N243" s="76">
        <f t="shared" si="16"/>
        <v>0</v>
      </c>
      <c r="O243" s="109"/>
      <c r="P243" s="109"/>
      <c r="Q243" s="76">
        <f t="shared" si="17"/>
        <v>0</v>
      </c>
    </row>
    <row r="244" spans="3:17" ht="27">
      <c r="C244" s="142"/>
      <c r="D244" s="765" t="s">
        <v>925</v>
      </c>
      <c r="E244" s="799"/>
      <c r="F244" s="296" t="s">
        <v>686</v>
      </c>
      <c r="G244" s="767">
        <v>1</v>
      </c>
      <c r="H244" s="72">
        <v>2009</v>
      </c>
      <c r="I244" s="822">
        <v>1592.033</v>
      </c>
      <c r="J244" s="109">
        <f t="shared" si="15"/>
        <v>100</v>
      </c>
      <c r="K244" s="109">
        <f t="shared" si="19"/>
        <v>0</v>
      </c>
      <c r="L244" s="296"/>
      <c r="M244" s="109"/>
      <c r="N244" s="76">
        <f t="shared" si="16"/>
        <v>0</v>
      </c>
      <c r="O244" s="109"/>
      <c r="P244" s="109"/>
      <c r="Q244" s="76">
        <f t="shared" si="17"/>
        <v>0</v>
      </c>
    </row>
    <row r="245" spans="3:17" ht="14.25">
      <c r="C245" s="142"/>
      <c r="D245" s="800" t="s">
        <v>922</v>
      </c>
      <c r="E245" s="799"/>
      <c r="F245" s="296" t="s">
        <v>686</v>
      </c>
      <c r="G245" s="767">
        <v>1</v>
      </c>
      <c r="H245" s="72">
        <v>2009</v>
      </c>
      <c r="I245" s="822">
        <v>214.372</v>
      </c>
      <c r="J245" s="109">
        <f t="shared" si="15"/>
        <v>100</v>
      </c>
      <c r="K245" s="109">
        <f t="shared" si="19"/>
        <v>0</v>
      </c>
      <c r="L245" s="296"/>
      <c r="M245" s="109"/>
      <c r="N245" s="76">
        <f t="shared" si="16"/>
        <v>0</v>
      </c>
      <c r="O245" s="109"/>
      <c r="P245" s="109"/>
      <c r="Q245" s="76">
        <f t="shared" si="17"/>
        <v>0</v>
      </c>
    </row>
    <row r="246" spans="3:17" ht="14.25">
      <c r="C246" s="142"/>
      <c r="D246" s="800" t="s">
        <v>924</v>
      </c>
      <c r="E246" s="799"/>
      <c r="F246" s="296" t="s">
        <v>686</v>
      </c>
      <c r="G246" s="72">
        <v>3</v>
      </c>
      <c r="H246" s="72">
        <v>2009</v>
      </c>
      <c r="I246" s="822">
        <v>27.457</v>
      </c>
      <c r="J246" s="109">
        <f t="shared" si="15"/>
        <v>100</v>
      </c>
      <c r="K246" s="109">
        <f t="shared" si="19"/>
        <v>0</v>
      </c>
      <c r="L246" s="296"/>
      <c r="M246" s="109"/>
      <c r="N246" s="76">
        <f t="shared" si="16"/>
        <v>0</v>
      </c>
      <c r="O246" s="109"/>
      <c r="P246" s="109"/>
      <c r="Q246" s="76">
        <f t="shared" si="17"/>
        <v>0</v>
      </c>
    </row>
    <row r="247" spans="3:17" ht="27">
      <c r="C247" s="142"/>
      <c r="D247" s="765" t="s">
        <v>919</v>
      </c>
      <c r="E247" s="799"/>
      <c r="F247" s="296" t="s">
        <v>686</v>
      </c>
      <c r="G247" s="72">
        <v>1</v>
      </c>
      <c r="H247" s="72">
        <v>2009</v>
      </c>
      <c r="I247" s="822">
        <v>262.271</v>
      </c>
      <c r="J247" s="109">
        <f aca="true" t="shared" si="20" ref="J247:J275">IF(($J$14-H247)*J$214&gt;100,100,($J$14-H247)*J$214)</f>
        <v>100</v>
      </c>
      <c r="K247" s="109">
        <f t="shared" si="19"/>
        <v>0</v>
      </c>
      <c r="L247" s="296"/>
      <c r="M247" s="109"/>
      <c r="N247" s="76">
        <f t="shared" si="16"/>
        <v>0</v>
      </c>
      <c r="O247" s="109"/>
      <c r="P247" s="109"/>
      <c r="Q247" s="76">
        <f t="shared" si="17"/>
        <v>0</v>
      </c>
    </row>
    <row r="248" spans="3:17" ht="40.5">
      <c r="C248" s="142"/>
      <c r="D248" s="765" t="s">
        <v>920</v>
      </c>
      <c r="E248" s="799"/>
      <c r="F248" s="296" t="s">
        <v>686</v>
      </c>
      <c r="G248" s="72">
        <v>3</v>
      </c>
      <c r="H248" s="72">
        <v>2009</v>
      </c>
      <c r="I248" s="822">
        <v>244.983</v>
      </c>
      <c r="J248" s="109">
        <f t="shared" si="20"/>
        <v>100</v>
      </c>
      <c r="K248" s="109">
        <f t="shared" si="19"/>
        <v>0</v>
      </c>
      <c r="L248" s="296"/>
      <c r="M248" s="109"/>
      <c r="N248" s="76">
        <f t="shared" si="16"/>
        <v>0</v>
      </c>
      <c r="O248" s="109"/>
      <c r="P248" s="109"/>
      <c r="Q248" s="76">
        <f t="shared" si="17"/>
        <v>0</v>
      </c>
    </row>
    <row r="249" spans="3:17" ht="14.25">
      <c r="C249" s="142"/>
      <c r="D249" s="756" t="s">
        <v>926</v>
      </c>
      <c r="E249" s="799"/>
      <c r="F249" s="296" t="s">
        <v>686</v>
      </c>
      <c r="G249" s="767">
        <v>4</v>
      </c>
      <c r="H249" s="767">
        <v>2010</v>
      </c>
      <c r="I249" s="822">
        <v>540</v>
      </c>
      <c r="J249" s="109">
        <f t="shared" si="20"/>
        <v>100</v>
      </c>
      <c r="K249" s="109">
        <f t="shared" si="19"/>
        <v>0</v>
      </c>
      <c r="L249" s="296"/>
      <c r="M249" s="109"/>
      <c r="N249" s="76">
        <f t="shared" si="16"/>
        <v>0</v>
      </c>
      <c r="O249" s="109"/>
      <c r="P249" s="109"/>
      <c r="Q249" s="76">
        <f t="shared" si="17"/>
        <v>0</v>
      </c>
    </row>
    <row r="250" spans="3:17" ht="14.25">
      <c r="C250" s="142"/>
      <c r="D250" s="756" t="s">
        <v>927</v>
      </c>
      <c r="E250" s="799"/>
      <c r="F250" s="296" t="s">
        <v>686</v>
      </c>
      <c r="G250" s="767">
        <v>1</v>
      </c>
      <c r="H250" s="767">
        <v>2010</v>
      </c>
      <c r="I250" s="822">
        <v>160</v>
      </c>
      <c r="J250" s="109">
        <f t="shared" si="20"/>
        <v>100</v>
      </c>
      <c r="K250" s="109">
        <f t="shared" si="19"/>
        <v>0</v>
      </c>
      <c r="L250" s="296"/>
      <c r="M250" s="109"/>
      <c r="N250" s="76">
        <f t="shared" si="16"/>
        <v>0</v>
      </c>
      <c r="O250" s="109"/>
      <c r="P250" s="109"/>
      <c r="Q250" s="76">
        <f t="shared" si="17"/>
        <v>0</v>
      </c>
    </row>
    <row r="251" spans="3:17" ht="14.25">
      <c r="C251" s="142"/>
      <c r="D251" s="756" t="s">
        <v>928</v>
      </c>
      <c r="E251" s="799"/>
      <c r="F251" s="296" t="s">
        <v>686</v>
      </c>
      <c r="G251" s="767">
        <v>2</v>
      </c>
      <c r="H251" s="767">
        <v>2011</v>
      </c>
      <c r="I251" s="822">
        <v>264</v>
      </c>
      <c r="J251" s="109">
        <f t="shared" si="20"/>
        <v>100</v>
      </c>
      <c r="K251" s="109">
        <f t="shared" si="19"/>
        <v>0</v>
      </c>
      <c r="L251" s="296"/>
      <c r="M251" s="109"/>
      <c r="N251" s="76">
        <f t="shared" si="16"/>
        <v>0</v>
      </c>
      <c r="O251" s="109"/>
      <c r="P251" s="109"/>
      <c r="Q251" s="76">
        <f t="shared" si="17"/>
        <v>0</v>
      </c>
    </row>
    <row r="252" spans="3:17" ht="14.25">
      <c r="C252" s="142"/>
      <c r="D252" s="756" t="s">
        <v>929</v>
      </c>
      <c r="E252" s="799"/>
      <c r="F252" s="296" t="s">
        <v>686</v>
      </c>
      <c r="G252" s="767">
        <v>10</v>
      </c>
      <c r="H252" s="767">
        <v>2011</v>
      </c>
      <c r="I252" s="822">
        <v>400</v>
      </c>
      <c r="J252" s="109">
        <f t="shared" si="20"/>
        <v>100</v>
      </c>
      <c r="K252" s="109">
        <f t="shared" si="19"/>
        <v>0</v>
      </c>
      <c r="L252" s="296"/>
      <c r="M252" s="109"/>
      <c r="N252" s="76">
        <f t="shared" si="16"/>
        <v>0</v>
      </c>
      <c r="O252" s="109"/>
      <c r="P252" s="109"/>
      <c r="Q252" s="76">
        <f t="shared" si="17"/>
        <v>0</v>
      </c>
    </row>
    <row r="253" spans="3:17" ht="14.25">
      <c r="C253" s="142"/>
      <c r="D253" s="804" t="s">
        <v>931</v>
      </c>
      <c r="E253" s="799"/>
      <c r="F253" s="296" t="s">
        <v>686</v>
      </c>
      <c r="G253" s="767">
        <v>1</v>
      </c>
      <c r="H253" s="767">
        <v>2011</v>
      </c>
      <c r="I253" s="822">
        <v>3101.666</v>
      </c>
      <c r="J253" s="109">
        <f t="shared" si="20"/>
        <v>100</v>
      </c>
      <c r="K253" s="109">
        <f t="shared" si="19"/>
        <v>0</v>
      </c>
      <c r="L253" s="296"/>
      <c r="M253" s="109"/>
      <c r="N253" s="76">
        <f t="shared" si="16"/>
        <v>0</v>
      </c>
      <c r="O253" s="109"/>
      <c r="P253" s="109"/>
      <c r="Q253" s="76">
        <f t="shared" si="17"/>
        <v>0</v>
      </c>
    </row>
    <row r="254" spans="3:17" ht="14.25">
      <c r="C254" s="142"/>
      <c r="D254" s="804" t="s">
        <v>932</v>
      </c>
      <c r="E254" s="799"/>
      <c r="F254" s="296" t="s">
        <v>686</v>
      </c>
      <c r="G254" s="767">
        <v>2</v>
      </c>
      <c r="H254" s="767">
        <v>2011</v>
      </c>
      <c r="I254" s="822">
        <v>2859.226</v>
      </c>
      <c r="J254" s="109">
        <f t="shared" si="20"/>
        <v>100</v>
      </c>
      <c r="K254" s="109">
        <f t="shared" si="19"/>
        <v>0</v>
      </c>
      <c r="L254" s="296"/>
      <c r="M254" s="109"/>
      <c r="N254" s="76">
        <f t="shared" si="16"/>
        <v>0</v>
      </c>
      <c r="O254" s="109"/>
      <c r="P254" s="109"/>
      <c r="Q254" s="76">
        <f t="shared" si="17"/>
        <v>0</v>
      </c>
    </row>
    <row r="255" spans="3:17" ht="27">
      <c r="C255" s="142"/>
      <c r="D255" s="786" t="s">
        <v>933</v>
      </c>
      <c r="E255" s="799"/>
      <c r="F255" s="296" t="s">
        <v>686</v>
      </c>
      <c r="G255" s="767">
        <v>1</v>
      </c>
      <c r="H255" s="767">
        <v>2011</v>
      </c>
      <c r="I255" s="822">
        <v>329.797</v>
      </c>
      <c r="J255" s="109">
        <f t="shared" si="20"/>
        <v>100</v>
      </c>
      <c r="K255" s="109">
        <f t="shared" si="19"/>
        <v>0</v>
      </c>
      <c r="L255" s="296"/>
      <c r="M255" s="109"/>
      <c r="N255" s="76">
        <f t="shared" si="16"/>
        <v>0</v>
      </c>
      <c r="O255" s="109"/>
      <c r="P255" s="109"/>
      <c r="Q255" s="76">
        <f t="shared" si="17"/>
        <v>0</v>
      </c>
    </row>
    <row r="256" spans="3:17" ht="14.25">
      <c r="C256" s="142"/>
      <c r="D256" s="786" t="s">
        <v>936</v>
      </c>
      <c r="E256" s="799"/>
      <c r="F256" s="296" t="s">
        <v>686</v>
      </c>
      <c r="G256" s="767">
        <v>2</v>
      </c>
      <c r="H256" s="767">
        <v>2011</v>
      </c>
      <c r="I256" s="822">
        <v>357.21</v>
      </c>
      <c r="J256" s="109">
        <f t="shared" si="20"/>
        <v>100</v>
      </c>
      <c r="K256" s="109">
        <f t="shared" si="19"/>
        <v>0</v>
      </c>
      <c r="L256" s="296"/>
      <c r="M256" s="109"/>
      <c r="N256" s="76">
        <f t="shared" si="16"/>
        <v>0</v>
      </c>
      <c r="O256" s="109"/>
      <c r="P256" s="109"/>
      <c r="Q256" s="76">
        <f t="shared" si="17"/>
        <v>0</v>
      </c>
    </row>
    <row r="257" spans="3:17" ht="14.25">
      <c r="C257" s="142"/>
      <c r="D257" s="786" t="s">
        <v>937</v>
      </c>
      <c r="E257" s="799"/>
      <c r="F257" s="296" t="s">
        <v>686</v>
      </c>
      <c r="G257" s="767">
        <v>2</v>
      </c>
      <c r="H257" s="767">
        <v>2011</v>
      </c>
      <c r="I257" s="822">
        <v>51.03</v>
      </c>
      <c r="J257" s="109">
        <f t="shared" si="20"/>
        <v>100</v>
      </c>
      <c r="K257" s="109">
        <f t="shared" si="19"/>
        <v>0</v>
      </c>
      <c r="L257" s="296"/>
      <c r="M257" s="109"/>
      <c r="N257" s="76">
        <f t="shared" si="16"/>
        <v>0</v>
      </c>
      <c r="O257" s="109"/>
      <c r="P257" s="109"/>
      <c r="Q257" s="76">
        <f t="shared" si="17"/>
        <v>0</v>
      </c>
    </row>
    <row r="258" spans="3:17" ht="14.25">
      <c r="C258" s="142"/>
      <c r="D258" s="808" t="s">
        <v>941</v>
      </c>
      <c r="E258" s="799"/>
      <c r="F258" s="296" t="s">
        <v>686</v>
      </c>
      <c r="G258" s="767">
        <v>2</v>
      </c>
      <c r="H258" s="767">
        <v>2011</v>
      </c>
      <c r="I258" s="822">
        <v>2859.226</v>
      </c>
      <c r="J258" s="109">
        <f t="shared" si="20"/>
        <v>100</v>
      </c>
      <c r="K258" s="109">
        <f t="shared" si="19"/>
        <v>0</v>
      </c>
      <c r="L258" s="296"/>
      <c r="M258" s="109"/>
      <c r="N258" s="76">
        <f t="shared" si="16"/>
        <v>0</v>
      </c>
      <c r="O258" s="109"/>
      <c r="P258" s="109"/>
      <c r="Q258" s="76">
        <f t="shared" si="17"/>
        <v>0</v>
      </c>
    </row>
    <row r="259" spans="3:17" ht="14.25">
      <c r="C259" s="142"/>
      <c r="D259" s="800" t="s">
        <v>942</v>
      </c>
      <c r="E259" s="799"/>
      <c r="F259" s="296" t="s">
        <v>686</v>
      </c>
      <c r="G259" s="767">
        <v>8</v>
      </c>
      <c r="H259" s="767">
        <v>2012</v>
      </c>
      <c r="I259" s="822">
        <v>123.84</v>
      </c>
      <c r="J259" s="109">
        <f t="shared" si="20"/>
        <v>100</v>
      </c>
      <c r="K259" s="109">
        <f t="shared" si="19"/>
        <v>0</v>
      </c>
      <c r="L259" s="296"/>
      <c r="M259" s="109"/>
      <c r="N259" s="76">
        <f t="shared" si="16"/>
        <v>0</v>
      </c>
      <c r="O259" s="109"/>
      <c r="P259" s="109"/>
      <c r="Q259" s="76">
        <f t="shared" si="17"/>
        <v>0</v>
      </c>
    </row>
    <row r="260" spans="3:17" ht="14.25">
      <c r="C260" s="142"/>
      <c r="D260" s="756" t="s">
        <v>945</v>
      </c>
      <c r="E260" s="799"/>
      <c r="F260" s="296" t="s">
        <v>686</v>
      </c>
      <c r="G260" s="767">
        <v>3</v>
      </c>
      <c r="H260" s="767">
        <v>2012</v>
      </c>
      <c r="I260" s="822">
        <v>2142</v>
      </c>
      <c r="J260" s="109">
        <f t="shared" si="20"/>
        <v>100</v>
      </c>
      <c r="K260" s="109">
        <f t="shared" si="19"/>
        <v>0</v>
      </c>
      <c r="L260" s="296"/>
      <c r="M260" s="109"/>
      <c r="N260" s="76">
        <f t="shared" si="16"/>
        <v>0</v>
      </c>
      <c r="O260" s="109"/>
      <c r="P260" s="109"/>
      <c r="Q260" s="76">
        <f t="shared" si="17"/>
        <v>0</v>
      </c>
    </row>
    <row r="261" spans="3:17" ht="14.25">
      <c r="C261" s="142"/>
      <c r="D261" s="765" t="s">
        <v>950</v>
      </c>
      <c r="E261" s="799"/>
      <c r="F261" s="296" t="s">
        <v>686</v>
      </c>
      <c r="G261" s="767">
        <v>1</v>
      </c>
      <c r="H261" s="767">
        <v>2013</v>
      </c>
      <c r="I261" s="822">
        <v>285</v>
      </c>
      <c r="J261" s="109">
        <f t="shared" si="20"/>
        <v>100</v>
      </c>
      <c r="K261" s="109">
        <f t="shared" si="19"/>
        <v>0</v>
      </c>
      <c r="L261" s="296"/>
      <c r="M261" s="109"/>
      <c r="N261" s="76">
        <f t="shared" si="16"/>
        <v>0</v>
      </c>
      <c r="O261" s="109"/>
      <c r="P261" s="109"/>
      <c r="Q261" s="76">
        <f t="shared" si="17"/>
        <v>0</v>
      </c>
    </row>
    <row r="262" spans="3:17" ht="14.25">
      <c r="C262" s="142"/>
      <c r="D262" s="765" t="s">
        <v>953</v>
      </c>
      <c r="E262" s="799"/>
      <c r="F262" s="296" t="s">
        <v>686</v>
      </c>
      <c r="G262" s="767">
        <v>1</v>
      </c>
      <c r="H262" s="767">
        <v>2014</v>
      </c>
      <c r="I262" s="822">
        <v>72</v>
      </c>
      <c r="J262" s="109">
        <f t="shared" si="20"/>
        <v>100</v>
      </c>
      <c r="K262" s="109">
        <f t="shared" si="19"/>
        <v>0</v>
      </c>
      <c r="L262" s="296"/>
      <c r="M262" s="109"/>
      <c r="N262" s="76">
        <f t="shared" si="16"/>
        <v>0</v>
      </c>
      <c r="O262" s="109"/>
      <c r="P262" s="109"/>
      <c r="Q262" s="76">
        <f t="shared" si="17"/>
        <v>0</v>
      </c>
    </row>
    <row r="263" spans="3:17" ht="14.25">
      <c r="C263" s="142"/>
      <c r="D263" s="765" t="s">
        <v>954</v>
      </c>
      <c r="E263" s="799"/>
      <c r="F263" s="296" t="s">
        <v>686</v>
      </c>
      <c r="G263" s="767">
        <v>1</v>
      </c>
      <c r="H263" s="767">
        <v>2014</v>
      </c>
      <c r="I263" s="822">
        <v>60</v>
      </c>
      <c r="J263" s="109">
        <f t="shared" si="20"/>
        <v>100</v>
      </c>
      <c r="K263" s="109">
        <f t="shared" si="19"/>
        <v>0</v>
      </c>
      <c r="L263" s="296"/>
      <c r="M263" s="109"/>
      <c r="N263" s="76">
        <f t="shared" si="16"/>
        <v>0</v>
      </c>
      <c r="O263" s="109"/>
      <c r="P263" s="109"/>
      <c r="Q263" s="76">
        <f t="shared" si="17"/>
        <v>0</v>
      </c>
    </row>
    <row r="264" spans="3:17" ht="27">
      <c r="C264" s="142"/>
      <c r="D264" s="790" t="s">
        <v>956</v>
      </c>
      <c r="E264" s="799"/>
      <c r="F264" s="296" t="s">
        <v>686</v>
      </c>
      <c r="G264" s="767">
        <v>2</v>
      </c>
      <c r="H264" s="767">
        <v>2015</v>
      </c>
      <c r="I264" s="321">
        <v>6540</v>
      </c>
      <c r="J264" s="109">
        <f t="shared" si="20"/>
        <v>100</v>
      </c>
      <c r="K264" s="109">
        <f t="shared" si="19"/>
        <v>0</v>
      </c>
      <c r="L264" s="296"/>
      <c r="M264" s="109"/>
      <c r="N264" s="76">
        <f t="shared" si="16"/>
        <v>0</v>
      </c>
      <c r="O264" s="109"/>
      <c r="P264" s="109"/>
      <c r="Q264" s="76">
        <f t="shared" si="17"/>
        <v>0</v>
      </c>
    </row>
    <row r="265" spans="3:17" ht="27">
      <c r="C265" s="142"/>
      <c r="D265" s="768" t="s">
        <v>957</v>
      </c>
      <c r="E265" s="799"/>
      <c r="F265" s="296" t="s">
        <v>686</v>
      </c>
      <c r="G265" s="812">
        <v>1</v>
      </c>
      <c r="H265" s="812">
        <v>2015</v>
      </c>
      <c r="I265" s="321">
        <v>4260</v>
      </c>
      <c r="J265" s="109">
        <f t="shared" si="20"/>
        <v>100</v>
      </c>
      <c r="K265" s="109">
        <f t="shared" si="19"/>
        <v>0</v>
      </c>
      <c r="L265" s="296"/>
      <c r="M265" s="109"/>
      <c r="N265" s="76">
        <f t="shared" si="16"/>
        <v>0</v>
      </c>
      <c r="O265" s="109"/>
      <c r="P265" s="109"/>
      <c r="Q265" s="76">
        <f t="shared" si="17"/>
        <v>0</v>
      </c>
    </row>
    <row r="266" spans="3:17" ht="30" customHeight="1">
      <c r="C266" s="142"/>
      <c r="D266" s="811" t="s">
        <v>958</v>
      </c>
      <c r="E266" s="799"/>
      <c r="F266" s="296" t="s">
        <v>686</v>
      </c>
      <c r="G266" s="812">
        <v>1</v>
      </c>
      <c r="H266" s="812">
        <v>2015</v>
      </c>
      <c r="I266" s="321">
        <v>91500</v>
      </c>
      <c r="J266" s="109">
        <f t="shared" si="20"/>
        <v>100</v>
      </c>
      <c r="K266" s="109">
        <f t="shared" si="19"/>
        <v>0</v>
      </c>
      <c r="L266" s="296"/>
      <c r="M266" s="109"/>
      <c r="N266" s="76">
        <f t="shared" si="16"/>
        <v>0</v>
      </c>
      <c r="O266" s="109"/>
      <c r="P266" s="109"/>
      <c r="Q266" s="76">
        <f t="shared" si="17"/>
        <v>0</v>
      </c>
    </row>
    <row r="267" spans="3:17" ht="17.25" customHeight="1">
      <c r="C267" s="142"/>
      <c r="D267" s="813" t="s">
        <v>960</v>
      </c>
      <c r="E267" s="799"/>
      <c r="F267" s="296" t="s">
        <v>686</v>
      </c>
      <c r="G267" s="771">
        <v>1</v>
      </c>
      <c r="H267" s="767">
        <v>2008</v>
      </c>
      <c r="I267" s="321">
        <v>78</v>
      </c>
      <c r="J267" s="109">
        <f t="shared" si="20"/>
        <v>100</v>
      </c>
      <c r="K267" s="109">
        <f t="shared" si="19"/>
        <v>0</v>
      </c>
      <c r="L267" s="296"/>
      <c r="M267" s="109"/>
      <c r="N267" s="76">
        <f t="shared" si="16"/>
        <v>0</v>
      </c>
      <c r="O267" s="109"/>
      <c r="P267" s="109"/>
      <c r="Q267" s="76">
        <f t="shared" si="17"/>
        <v>0</v>
      </c>
    </row>
    <row r="268" spans="3:17" ht="14.25">
      <c r="C268" s="142"/>
      <c r="D268" s="765" t="s">
        <v>965</v>
      </c>
      <c r="E268" s="799"/>
      <c r="F268" s="756" t="s">
        <v>686</v>
      </c>
      <c r="G268" s="767">
        <v>20</v>
      </c>
      <c r="H268" s="767">
        <v>2018</v>
      </c>
      <c r="I268" s="822">
        <v>992</v>
      </c>
      <c r="J268" s="109">
        <f t="shared" si="20"/>
        <v>62.5</v>
      </c>
      <c r="K268" s="109">
        <f t="shared" si="19"/>
        <v>372</v>
      </c>
      <c r="L268" s="296"/>
      <c r="M268" s="109"/>
      <c r="N268" s="76">
        <f t="shared" si="16"/>
        <v>0</v>
      </c>
      <c r="O268" s="109"/>
      <c r="P268" s="109"/>
      <c r="Q268" s="76">
        <f t="shared" si="17"/>
        <v>0</v>
      </c>
    </row>
    <row r="269" spans="3:17" ht="14.25">
      <c r="C269" s="142"/>
      <c r="D269" s="801" t="s">
        <v>968</v>
      </c>
      <c r="E269" s="799"/>
      <c r="F269" s="756" t="s">
        <v>686</v>
      </c>
      <c r="G269" s="767">
        <v>1</v>
      </c>
      <c r="H269" s="767">
        <v>2017</v>
      </c>
      <c r="I269" s="822">
        <v>220</v>
      </c>
      <c r="J269" s="109">
        <f t="shared" si="20"/>
        <v>75</v>
      </c>
      <c r="K269" s="109">
        <f aca="true" t="shared" si="21" ref="K269:K275">IF(J269=100,0,I269-I269*J269%)</f>
        <v>55</v>
      </c>
      <c r="L269" s="296"/>
      <c r="M269" s="109"/>
      <c r="N269" s="76">
        <f t="shared" si="16"/>
        <v>0</v>
      </c>
      <c r="O269" s="109"/>
      <c r="P269" s="109"/>
      <c r="Q269" s="76">
        <f t="shared" si="17"/>
        <v>0</v>
      </c>
    </row>
    <row r="270" spans="3:17" ht="16.5">
      <c r="C270" s="142"/>
      <c r="D270" s="776" t="s">
        <v>972</v>
      </c>
      <c r="E270" s="799"/>
      <c r="F270" s="756" t="s">
        <v>686</v>
      </c>
      <c r="G270" s="777">
        <v>5</v>
      </c>
      <c r="H270" s="767">
        <v>2019</v>
      </c>
      <c r="I270" s="824">
        <v>397.5</v>
      </c>
      <c r="J270" s="109">
        <f t="shared" si="20"/>
        <v>50</v>
      </c>
      <c r="K270" s="109">
        <f t="shared" si="21"/>
        <v>198.75</v>
      </c>
      <c r="L270" s="296"/>
      <c r="M270" s="109"/>
      <c r="N270" s="76">
        <f t="shared" si="16"/>
        <v>0</v>
      </c>
      <c r="O270" s="109"/>
      <c r="P270" s="109"/>
      <c r="Q270" s="76">
        <f t="shared" si="17"/>
        <v>0</v>
      </c>
    </row>
    <row r="271" spans="3:17" ht="16.5">
      <c r="C271" s="142"/>
      <c r="D271" s="776" t="s">
        <v>973</v>
      </c>
      <c r="E271" s="799"/>
      <c r="F271" s="756"/>
      <c r="G271" s="777"/>
      <c r="H271" s="767"/>
      <c r="I271" s="824">
        <v>439456.3</v>
      </c>
      <c r="J271" s="109">
        <f t="shared" si="20"/>
        <v>100</v>
      </c>
      <c r="K271" s="109">
        <f t="shared" si="21"/>
        <v>0</v>
      </c>
      <c r="L271" s="296"/>
      <c r="M271" s="109"/>
      <c r="N271" s="76">
        <f t="shared" si="16"/>
        <v>0</v>
      </c>
      <c r="O271" s="109"/>
      <c r="P271" s="109"/>
      <c r="Q271" s="76">
        <f t="shared" si="17"/>
        <v>0</v>
      </c>
    </row>
    <row r="272" spans="3:17" ht="16.5">
      <c r="C272" s="142"/>
      <c r="D272" s="776" t="s">
        <v>974</v>
      </c>
      <c r="E272" s="799"/>
      <c r="F272" s="756" t="s">
        <v>686</v>
      </c>
      <c r="G272" s="777">
        <v>1</v>
      </c>
      <c r="H272" s="767">
        <v>2020</v>
      </c>
      <c r="I272" s="815">
        <v>408</v>
      </c>
      <c r="J272" s="109">
        <f t="shared" si="20"/>
        <v>37.5</v>
      </c>
      <c r="K272" s="109">
        <f t="shared" si="21"/>
        <v>255</v>
      </c>
      <c r="L272" s="296"/>
      <c r="M272" s="109"/>
      <c r="N272" s="76">
        <f t="shared" si="16"/>
        <v>0</v>
      </c>
      <c r="O272" s="109"/>
      <c r="P272" s="109"/>
      <c r="Q272" s="76">
        <f t="shared" si="17"/>
        <v>0</v>
      </c>
    </row>
    <row r="273" spans="3:17" ht="16.5">
      <c r="C273" s="142"/>
      <c r="D273" s="776" t="s">
        <v>976</v>
      </c>
      <c r="E273" s="799"/>
      <c r="F273" s="756" t="s">
        <v>686</v>
      </c>
      <c r="G273" s="777">
        <v>4</v>
      </c>
      <c r="H273" s="767">
        <v>2020</v>
      </c>
      <c r="I273" s="815">
        <v>200</v>
      </c>
      <c r="J273" s="109">
        <f t="shared" si="20"/>
        <v>37.5</v>
      </c>
      <c r="K273" s="109">
        <f t="shared" si="21"/>
        <v>125</v>
      </c>
      <c r="L273" s="296"/>
      <c r="M273" s="109"/>
      <c r="N273" s="76">
        <f t="shared" si="16"/>
        <v>0</v>
      </c>
      <c r="O273" s="109"/>
      <c r="P273" s="109"/>
      <c r="Q273" s="76">
        <f t="shared" si="17"/>
        <v>0</v>
      </c>
    </row>
    <row r="274" spans="3:17" ht="14.25">
      <c r="C274" s="142"/>
      <c r="D274" s="801" t="s">
        <v>977</v>
      </c>
      <c r="E274" s="799"/>
      <c r="F274" s="756" t="s">
        <v>686</v>
      </c>
      <c r="G274" s="767">
        <v>1</v>
      </c>
      <c r="H274" s="767">
        <v>2017</v>
      </c>
      <c r="I274" s="822">
        <v>1182.9</v>
      </c>
      <c r="J274" s="109">
        <f t="shared" si="20"/>
        <v>75</v>
      </c>
      <c r="K274" s="109">
        <f t="shared" si="21"/>
        <v>295.725</v>
      </c>
      <c r="L274" s="296"/>
      <c r="M274" s="109"/>
      <c r="N274" s="76">
        <f t="shared" si="16"/>
        <v>0</v>
      </c>
      <c r="O274" s="109"/>
      <c r="P274" s="109"/>
      <c r="Q274" s="76">
        <f t="shared" si="17"/>
        <v>0</v>
      </c>
    </row>
    <row r="275" spans="3:17" ht="14.25">
      <c r="C275" s="142"/>
      <c r="D275" s="832" t="s">
        <v>988</v>
      </c>
      <c r="E275" s="799"/>
      <c r="F275" s="756" t="s">
        <v>686</v>
      </c>
      <c r="G275" s="767">
        <v>1</v>
      </c>
      <c r="H275" s="767">
        <v>2021</v>
      </c>
      <c r="I275" s="822">
        <v>5981.76</v>
      </c>
      <c r="J275" s="109">
        <f t="shared" si="20"/>
        <v>25</v>
      </c>
      <c r="K275" s="109">
        <f t="shared" si="21"/>
        <v>4486.32</v>
      </c>
      <c r="L275" s="296"/>
      <c r="M275" s="109"/>
      <c r="N275" s="76">
        <f t="shared" si="16"/>
        <v>0</v>
      </c>
      <c r="O275" s="109"/>
      <c r="P275" s="109"/>
      <c r="Q275" s="76">
        <f t="shared" si="17"/>
        <v>0</v>
      </c>
    </row>
    <row r="276" spans="3:17" ht="14.25">
      <c r="C276" s="142"/>
      <c r="D276" s="832"/>
      <c r="E276" s="799"/>
      <c r="F276" s="756"/>
      <c r="G276" s="767"/>
      <c r="H276" s="767"/>
      <c r="I276" s="822"/>
      <c r="J276" s="109"/>
      <c r="K276" s="109"/>
      <c r="L276" s="296"/>
      <c r="M276" s="109"/>
      <c r="N276" s="76"/>
      <c r="O276" s="109"/>
      <c r="P276" s="109"/>
      <c r="Q276" s="76">
        <f t="shared" si="17"/>
        <v>0</v>
      </c>
    </row>
    <row r="277" spans="3:17" ht="16.5">
      <c r="C277" s="142"/>
      <c r="D277" s="874" t="s">
        <v>1138</v>
      </c>
      <c r="E277" s="799"/>
      <c r="F277" s="756"/>
      <c r="G277" s="767"/>
      <c r="H277" s="767"/>
      <c r="I277" s="822"/>
      <c r="J277" s="109"/>
      <c r="K277" s="109"/>
      <c r="L277" s="296"/>
      <c r="M277" s="109"/>
      <c r="N277" s="76"/>
      <c r="O277" s="109">
        <v>1</v>
      </c>
      <c r="P277" s="109">
        <v>450</v>
      </c>
      <c r="Q277" s="76">
        <f t="shared" si="17"/>
        <v>450</v>
      </c>
    </row>
    <row r="278" spans="3:17" ht="14.25">
      <c r="C278" s="142"/>
      <c r="D278" s="109" t="s">
        <v>965</v>
      </c>
      <c r="E278" s="115"/>
      <c r="F278" s="780"/>
      <c r="G278" s="72"/>
      <c r="H278" s="72"/>
      <c r="I278" s="829"/>
      <c r="J278" s="109"/>
      <c r="K278" s="109"/>
      <c r="L278" s="296"/>
      <c r="M278" s="109"/>
      <c r="N278" s="76">
        <f>+L278*M278</f>
        <v>0</v>
      </c>
      <c r="O278" s="109">
        <v>3</v>
      </c>
      <c r="P278" s="109">
        <v>650</v>
      </c>
      <c r="Q278" s="76">
        <f t="shared" si="17"/>
        <v>1950</v>
      </c>
    </row>
    <row r="279" spans="1:17" ht="32.25" customHeight="1">
      <c r="A279" s="724">
        <v>6</v>
      </c>
      <c r="B279" s="725">
        <v>62</v>
      </c>
      <c r="C279" s="805"/>
      <c r="D279" s="806" t="s">
        <v>576</v>
      </c>
      <c r="E279" s="713"/>
      <c r="F279" s="764"/>
      <c r="G279" s="715">
        <f>+G280+G420+G433+G462</f>
        <v>1872.5</v>
      </c>
      <c r="H279" s="818"/>
      <c r="I279" s="818"/>
      <c r="J279" s="714"/>
      <c r="K279" s="714"/>
      <c r="L279" s="879">
        <f>+L280+L420+L433+L462</f>
        <v>19</v>
      </c>
      <c r="M279" s="714"/>
      <c r="N279" s="715">
        <f>+N280+N420+N433+N462</f>
        <v>4093</v>
      </c>
      <c r="O279" s="727">
        <f>SUM(O280:O282)</f>
        <v>0</v>
      </c>
      <c r="P279" s="714"/>
      <c r="Q279" s="715">
        <f>+Q280+Q420+Q433+Q462</f>
        <v>9252.2</v>
      </c>
    </row>
    <row r="280" spans="1:17" ht="66">
      <c r="A280" s="723"/>
      <c r="B280" s="723"/>
      <c r="C280" s="722">
        <v>620</v>
      </c>
      <c r="D280" s="707" t="s">
        <v>578</v>
      </c>
      <c r="E280" s="708">
        <v>10</v>
      </c>
      <c r="F280" s="296"/>
      <c r="G280" s="694">
        <f>SUM(G281:G409)</f>
        <v>1648</v>
      </c>
      <c r="H280" s="72"/>
      <c r="I280" s="72"/>
      <c r="J280" s="728">
        <v>10</v>
      </c>
      <c r="K280" s="109"/>
      <c r="L280" s="362">
        <f>SUM(L281:L409)</f>
        <v>0</v>
      </c>
      <c r="M280" s="109"/>
      <c r="N280" s="694">
        <f>SUM(N281:N409)</f>
        <v>0</v>
      </c>
      <c r="O280" s="694">
        <f>SUM(O281:O409)</f>
        <v>0</v>
      </c>
      <c r="P280" s="109"/>
      <c r="Q280" s="694">
        <f>SUM(Q281:Q419)</f>
        <v>8452.2</v>
      </c>
    </row>
    <row r="281" spans="3:17" ht="13.5">
      <c r="C281" s="142"/>
      <c r="D281" s="792" t="s">
        <v>674</v>
      </c>
      <c r="E281" s="109"/>
      <c r="F281" s="756" t="s">
        <v>686</v>
      </c>
      <c r="G281" s="793">
        <v>7</v>
      </c>
      <c r="H281" s="757">
        <v>2008</v>
      </c>
      <c r="I281" s="321">
        <v>924</v>
      </c>
      <c r="J281" s="109">
        <f aca="true" t="shared" si="22" ref="J281:J312">IF(($J$14-H281)*J$280&gt;100,100,($J$14-H281)*J$280)</f>
        <v>100</v>
      </c>
      <c r="K281" s="109">
        <f>IF(J281=100,0,I281-I281*J281%)</f>
        <v>0</v>
      </c>
      <c r="L281" s="296"/>
      <c r="M281" s="109"/>
      <c r="N281" s="76">
        <f>+L281*M281</f>
        <v>0</v>
      </c>
      <c r="O281" s="109"/>
      <c r="P281" s="109"/>
      <c r="Q281" s="76">
        <f>+O281*P281</f>
        <v>0</v>
      </c>
    </row>
    <row r="282" spans="3:17" ht="13.5">
      <c r="C282" s="142"/>
      <c r="D282" s="756" t="s">
        <v>675</v>
      </c>
      <c r="E282" s="109"/>
      <c r="F282" s="756" t="s">
        <v>686</v>
      </c>
      <c r="G282" s="757">
        <v>15</v>
      </c>
      <c r="H282" s="757">
        <v>2008</v>
      </c>
      <c r="I282" s="321">
        <v>1530</v>
      </c>
      <c r="J282" s="109">
        <f t="shared" si="22"/>
        <v>100</v>
      </c>
      <c r="K282" s="109">
        <f>IF(J282=100,0,I282-I282*J282%)</f>
        <v>0</v>
      </c>
      <c r="L282" s="296"/>
      <c r="M282" s="109"/>
      <c r="N282" s="76">
        <f>+L282*M282</f>
        <v>0</v>
      </c>
      <c r="O282" s="109"/>
      <c r="P282" s="109"/>
      <c r="Q282" s="76">
        <f aca="true" t="shared" si="23" ref="Q282:Q345">+O282*P282</f>
        <v>0</v>
      </c>
    </row>
    <row r="283" spans="3:17" ht="13.5">
      <c r="C283" s="142"/>
      <c r="D283" s="756" t="s">
        <v>676</v>
      </c>
      <c r="E283" s="109"/>
      <c r="F283" s="756" t="s">
        <v>686</v>
      </c>
      <c r="G283" s="757">
        <v>34</v>
      </c>
      <c r="H283" s="757">
        <v>2008</v>
      </c>
      <c r="I283" s="321">
        <v>2550</v>
      </c>
      <c r="J283" s="109">
        <f t="shared" si="22"/>
        <v>100</v>
      </c>
      <c r="K283" s="109">
        <f aca="true" t="shared" si="24" ref="K283:K343">IF(J283=100,0,I283-I283*J283%)</f>
        <v>0</v>
      </c>
      <c r="L283" s="296"/>
      <c r="M283" s="109"/>
      <c r="N283" s="76">
        <f aca="true" t="shared" si="25" ref="N283:N346">+L283*M283</f>
        <v>0</v>
      </c>
      <c r="O283" s="109"/>
      <c r="P283" s="109"/>
      <c r="Q283" s="76">
        <f t="shared" si="23"/>
        <v>0</v>
      </c>
    </row>
    <row r="284" spans="3:17" ht="13.5">
      <c r="C284" s="142"/>
      <c r="D284" s="756" t="s">
        <v>677</v>
      </c>
      <c r="E284" s="109"/>
      <c r="F284" s="756" t="s">
        <v>686</v>
      </c>
      <c r="G284" s="757">
        <v>8</v>
      </c>
      <c r="H284" s="757">
        <v>2008</v>
      </c>
      <c r="I284" s="321">
        <v>864</v>
      </c>
      <c r="J284" s="109">
        <f t="shared" si="22"/>
        <v>100</v>
      </c>
      <c r="K284" s="109">
        <f t="shared" si="24"/>
        <v>0</v>
      </c>
      <c r="L284" s="296"/>
      <c r="M284" s="109"/>
      <c r="N284" s="76">
        <f t="shared" si="25"/>
        <v>0</v>
      </c>
      <c r="O284" s="109"/>
      <c r="P284" s="109"/>
      <c r="Q284" s="76">
        <f t="shared" si="23"/>
        <v>0</v>
      </c>
    </row>
    <row r="285" spans="3:17" ht="13.5">
      <c r="C285" s="142"/>
      <c r="D285" s="756" t="s">
        <v>678</v>
      </c>
      <c r="E285" s="109"/>
      <c r="F285" s="756" t="s">
        <v>686</v>
      </c>
      <c r="G285" s="793">
        <v>40</v>
      </c>
      <c r="H285" s="757">
        <v>2008</v>
      </c>
      <c r="I285" s="321">
        <v>3720</v>
      </c>
      <c r="J285" s="109">
        <f t="shared" si="22"/>
        <v>100</v>
      </c>
      <c r="K285" s="109">
        <f t="shared" si="24"/>
        <v>0</v>
      </c>
      <c r="L285" s="296"/>
      <c r="M285" s="109"/>
      <c r="N285" s="76">
        <f t="shared" si="25"/>
        <v>0</v>
      </c>
      <c r="O285" s="109"/>
      <c r="P285" s="109"/>
      <c r="Q285" s="76">
        <f t="shared" si="23"/>
        <v>0</v>
      </c>
    </row>
    <row r="286" spans="3:17" ht="13.5">
      <c r="C286" s="142"/>
      <c r="D286" s="756" t="s">
        <v>679</v>
      </c>
      <c r="E286" s="109"/>
      <c r="F286" s="756" t="s">
        <v>686</v>
      </c>
      <c r="G286" s="757">
        <v>16</v>
      </c>
      <c r="H286" s="757">
        <v>2008</v>
      </c>
      <c r="I286" s="321">
        <v>672</v>
      </c>
      <c r="J286" s="109">
        <f t="shared" si="22"/>
        <v>100</v>
      </c>
      <c r="K286" s="109">
        <f t="shared" si="24"/>
        <v>0</v>
      </c>
      <c r="L286" s="296"/>
      <c r="M286" s="109"/>
      <c r="N286" s="76">
        <f t="shared" si="25"/>
        <v>0</v>
      </c>
      <c r="O286" s="109"/>
      <c r="P286" s="109"/>
      <c r="Q286" s="76">
        <f t="shared" si="23"/>
        <v>0</v>
      </c>
    </row>
    <row r="287" spans="3:17" ht="13.5">
      <c r="C287" s="142"/>
      <c r="D287" s="756" t="s">
        <v>680</v>
      </c>
      <c r="E287" s="109"/>
      <c r="F287" s="756" t="s">
        <v>686</v>
      </c>
      <c r="G287" s="757">
        <v>45</v>
      </c>
      <c r="H287" s="757">
        <v>2008</v>
      </c>
      <c r="I287" s="321">
        <v>2385</v>
      </c>
      <c r="J287" s="109">
        <f t="shared" si="22"/>
        <v>100</v>
      </c>
      <c r="K287" s="109">
        <f t="shared" si="24"/>
        <v>0</v>
      </c>
      <c r="L287" s="296"/>
      <c r="M287" s="109"/>
      <c r="N287" s="76">
        <f t="shared" si="25"/>
        <v>0</v>
      </c>
      <c r="O287" s="109"/>
      <c r="P287" s="109"/>
      <c r="Q287" s="76">
        <f t="shared" si="23"/>
        <v>0</v>
      </c>
    </row>
    <row r="288" spans="3:17" ht="13.5">
      <c r="C288" s="142"/>
      <c r="D288" s="756" t="s">
        <v>681</v>
      </c>
      <c r="E288" s="109"/>
      <c r="F288" s="756" t="s">
        <v>686</v>
      </c>
      <c r="G288" s="757">
        <v>1</v>
      </c>
      <c r="H288" s="757">
        <v>2008</v>
      </c>
      <c r="I288" s="321">
        <v>371</v>
      </c>
      <c r="J288" s="109">
        <f t="shared" si="22"/>
        <v>100</v>
      </c>
      <c r="K288" s="109">
        <f t="shared" si="24"/>
        <v>0</v>
      </c>
      <c r="L288" s="296"/>
      <c r="M288" s="109"/>
      <c r="N288" s="76">
        <f t="shared" si="25"/>
        <v>0</v>
      </c>
      <c r="O288" s="109"/>
      <c r="P288" s="109"/>
      <c r="Q288" s="76">
        <f t="shared" si="23"/>
        <v>0</v>
      </c>
    </row>
    <row r="289" spans="3:17" ht="13.5">
      <c r="C289" s="142"/>
      <c r="D289" s="756" t="s">
        <v>682</v>
      </c>
      <c r="E289" s="109"/>
      <c r="F289" s="756" t="s">
        <v>686</v>
      </c>
      <c r="G289" s="757">
        <v>3</v>
      </c>
      <c r="H289" s="757">
        <v>2008</v>
      </c>
      <c r="I289" s="321">
        <v>840</v>
      </c>
      <c r="J289" s="109">
        <f t="shared" si="22"/>
        <v>100</v>
      </c>
      <c r="K289" s="109">
        <f t="shared" si="24"/>
        <v>0</v>
      </c>
      <c r="L289" s="296"/>
      <c r="M289" s="109"/>
      <c r="N289" s="76">
        <f t="shared" si="25"/>
        <v>0</v>
      </c>
      <c r="O289" s="109"/>
      <c r="P289" s="109"/>
      <c r="Q289" s="76">
        <f t="shared" si="23"/>
        <v>0</v>
      </c>
    </row>
    <row r="290" spans="3:17" ht="13.5">
      <c r="C290" s="142"/>
      <c r="D290" s="756" t="s">
        <v>683</v>
      </c>
      <c r="E290" s="109"/>
      <c r="F290" s="756" t="s">
        <v>686</v>
      </c>
      <c r="G290" s="757">
        <v>5</v>
      </c>
      <c r="H290" s="757">
        <v>2008</v>
      </c>
      <c r="I290" s="321">
        <v>2900</v>
      </c>
      <c r="J290" s="109">
        <f t="shared" si="22"/>
        <v>100</v>
      </c>
      <c r="K290" s="109">
        <f t="shared" si="24"/>
        <v>0</v>
      </c>
      <c r="L290" s="296"/>
      <c r="M290" s="109"/>
      <c r="N290" s="76">
        <f t="shared" si="25"/>
        <v>0</v>
      </c>
      <c r="O290" s="109"/>
      <c r="P290" s="109"/>
      <c r="Q290" s="76">
        <f t="shared" si="23"/>
        <v>0</v>
      </c>
    </row>
    <row r="291" spans="3:17" ht="13.5">
      <c r="C291" s="142"/>
      <c r="D291" s="756" t="s">
        <v>684</v>
      </c>
      <c r="E291" s="109"/>
      <c r="F291" s="756" t="s">
        <v>686</v>
      </c>
      <c r="G291" s="757">
        <v>2</v>
      </c>
      <c r="H291" s="757">
        <v>2008</v>
      </c>
      <c r="I291" s="321">
        <v>580</v>
      </c>
      <c r="J291" s="109">
        <f t="shared" si="22"/>
        <v>100</v>
      </c>
      <c r="K291" s="109">
        <f t="shared" si="24"/>
        <v>0</v>
      </c>
      <c r="L291" s="296"/>
      <c r="M291" s="109"/>
      <c r="N291" s="76">
        <f t="shared" si="25"/>
        <v>0</v>
      </c>
      <c r="O291" s="109"/>
      <c r="P291" s="109"/>
      <c r="Q291" s="76">
        <f t="shared" si="23"/>
        <v>0</v>
      </c>
    </row>
    <row r="292" spans="3:17" ht="13.5">
      <c r="C292" s="142"/>
      <c r="D292" s="756" t="s">
        <v>685</v>
      </c>
      <c r="E292" s="109"/>
      <c r="F292" s="756" t="s">
        <v>686</v>
      </c>
      <c r="G292" s="757">
        <v>27</v>
      </c>
      <c r="H292" s="757">
        <v>2008</v>
      </c>
      <c r="I292" s="321">
        <v>688.5</v>
      </c>
      <c r="J292" s="109">
        <f t="shared" si="22"/>
        <v>100</v>
      </c>
      <c r="K292" s="109">
        <f t="shared" si="24"/>
        <v>0</v>
      </c>
      <c r="L292" s="296"/>
      <c r="M292" s="109"/>
      <c r="N292" s="76">
        <f t="shared" si="25"/>
        <v>0</v>
      </c>
      <c r="O292" s="109"/>
      <c r="P292" s="109"/>
      <c r="Q292" s="76">
        <f t="shared" si="23"/>
        <v>0</v>
      </c>
    </row>
    <row r="293" spans="3:17" ht="13.5">
      <c r="C293" s="142"/>
      <c r="D293" s="756" t="s">
        <v>687</v>
      </c>
      <c r="E293" s="109"/>
      <c r="F293" s="756" t="s">
        <v>686</v>
      </c>
      <c r="G293" s="793">
        <v>1</v>
      </c>
      <c r="H293" s="757">
        <v>2003</v>
      </c>
      <c r="I293" s="321">
        <v>42.744</v>
      </c>
      <c r="J293" s="109">
        <f t="shared" si="22"/>
        <v>100</v>
      </c>
      <c r="K293" s="109">
        <f t="shared" si="24"/>
        <v>0</v>
      </c>
      <c r="L293" s="296"/>
      <c r="M293" s="109"/>
      <c r="N293" s="76">
        <f t="shared" si="25"/>
        <v>0</v>
      </c>
      <c r="O293" s="109"/>
      <c r="P293" s="109"/>
      <c r="Q293" s="76">
        <f t="shared" si="23"/>
        <v>0</v>
      </c>
    </row>
    <row r="294" spans="3:17" ht="13.5">
      <c r="C294" s="142"/>
      <c r="D294" s="756" t="s">
        <v>688</v>
      </c>
      <c r="E294" s="109"/>
      <c r="F294" s="756" t="s">
        <v>686</v>
      </c>
      <c r="G294" s="793">
        <v>6</v>
      </c>
      <c r="H294" s="757">
        <v>1970</v>
      </c>
      <c r="I294" s="321">
        <v>147.51</v>
      </c>
      <c r="J294" s="109">
        <f t="shared" si="22"/>
        <v>100</v>
      </c>
      <c r="K294" s="109">
        <f t="shared" si="24"/>
        <v>0</v>
      </c>
      <c r="L294" s="296"/>
      <c r="M294" s="109"/>
      <c r="N294" s="76">
        <f t="shared" si="25"/>
        <v>0</v>
      </c>
      <c r="O294" s="109"/>
      <c r="P294" s="109"/>
      <c r="Q294" s="76">
        <f t="shared" si="23"/>
        <v>0</v>
      </c>
    </row>
    <row r="295" spans="3:17" ht="13.5">
      <c r="C295" s="142"/>
      <c r="D295" s="756" t="s">
        <v>679</v>
      </c>
      <c r="E295" s="109"/>
      <c r="F295" s="756" t="s">
        <v>686</v>
      </c>
      <c r="G295" s="757">
        <v>6</v>
      </c>
      <c r="H295" s="757">
        <v>2007</v>
      </c>
      <c r="I295" s="321">
        <v>252</v>
      </c>
      <c r="J295" s="109">
        <f t="shared" si="22"/>
        <v>100</v>
      </c>
      <c r="K295" s="109">
        <f t="shared" si="24"/>
        <v>0</v>
      </c>
      <c r="L295" s="296"/>
      <c r="M295" s="109"/>
      <c r="N295" s="76">
        <f t="shared" si="25"/>
        <v>0</v>
      </c>
      <c r="O295" s="109"/>
      <c r="P295" s="109"/>
      <c r="Q295" s="76">
        <f t="shared" si="23"/>
        <v>0</v>
      </c>
    </row>
    <row r="296" spans="3:17" ht="13.5">
      <c r="C296" s="142"/>
      <c r="D296" s="756" t="s">
        <v>679</v>
      </c>
      <c r="E296" s="109"/>
      <c r="F296" s="756" t="s">
        <v>686</v>
      </c>
      <c r="G296" s="757">
        <v>10</v>
      </c>
      <c r="H296" s="757">
        <v>2012</v>
      </c>
      <c r="I296" s="321">
        <v>421.2</v>
      </c>
      <c r="J296" s="109">
        <f t="shared" si="22"/>
        <v>100</v>
      </c>
      <c r="K296" s="109">
        <f t="shared" si="24"/>
        <v>0</v>
      </c>
      <c r="L296" s="296"/>
      <c r="M296" s="109"/>
      <c r="N296" s="76">
        <f t="shared" si="25"/>
        <v>0</v>
      </c>
      <c r="O296" s="109"/>
      <c r="P296" s="109"/>
      <c r="Q296" s="76">
        <f t="shared" si="23"/>
        <v>0</v>
      </c>
    </row>
    <row r="297" spans="3:17" ht="13.5">
      <c r="C297" s="142"/>
      <c r="D297" s="756" t="s">
        <v>689</v>
      </c>
      <c r="E297" s="109"/>
      <c r="F297" s="756" t="s">
        <v>686</v>
      </c>
      <c r="G297" s="757">
        <v>2</v>
      </c>
      <c r="H297" s="757">
        <v>2008</v>
      </c>
      <c r="I297" s="321">
        <v>316</v>
      </c>
      <c r="J297" s="109">
        <f t="shared" si="22"/>
        <v>100</v>
      </c>
      <c r="K297" s="109">
        <f t="shared" si="24"/>
        <v>0</v>
      </c>
      <c r="L297" s="296"/>
      <c r="M297" s="109"/>
      <c r="N297" s="76">
        <f t="shared" si="25"/>
        <v>0</v>
      </c>
      <c r="O297" s="109"/>
      <c r="P297" s="109"/>
      <c r="Q297" s="76">
        <f t="shared" si="23"/>
        <v>0</v>
      </c>
    </row>
    <row r="298" spans="3:17" ht="13.5">
      <c r="C298" s="142"/>
      <c r="D298" s="756" t="s">
        <v>690</v>
      </c>
      <c r="E298" s="109"/>
      <c r="F298" s="756" t="s">
        <v>686</v>
      </c>
      <c r="G298" s="757">
        <v>2</v>
      </c>
      <c r="H298" s="757">
        <v>2008</v>
      </c>
      <c r="I298" s="321">
        <v>256</v>
      </c>
      <c r="J298" s="109">
        <f t="shared" si="22"/>
        <v>100</v>
      </c>
      <c r="K298" s="109">
        <f t="shared" si="24"/>
        <v>0</v>
      </c>
      <c r="L298" s="296"/>
      <c r="M298" s="109"/>
      <c r="N298" s="76">
        <f t="shared" si="25"/>
        <v>0</v>
      </c>
      <c r="O298" s="109"/>
      <c r="P298" s="109"/>
      <c r="Q298" s="76">
        <f t="shared" si="23"/>
        <v>0</v>
      </c>
    </row>
    <row r="299" spans="3:17" ht="13.5">
      <c r="C299" s="142"/>
      <c r="D299" s="756" t="s">
        <v>679</v>
      </c>
      <c r="E299" s="109"/>
      <c r="F299" s="756" t="s">
        <v>686</v>
      </c>
      <c r="G299" s="757">
        <v>2</v>
      </c>
      <c r="H299" s="757">
        <v>2008</v>
      </c>
      <c r="I299" s="321">
        <v>198</v>
      </c>
      <c r="J299" s="109">
        <f t="shared" si="22"/>
        <v>100</v>
      </c>
      <c r="K299" s="109">
        <f t="shared" si="24"/>
        <v>0</v>
      </c>
      <c r="L299" s="296"/>
      <c r="M299" s="109"/>
      <c r="N299" s="76">
        <f t="shared" si="25"/>
        <v>0</v>
      </c>
      <c r="O299" s="109"/>
      <c r="P299" s="109"/>
      <c r="Q299" s="76">
        <f t="shared" si="23"/>
        <v>0</v>
      </c>
    </row>
    <row r="300" spans="3:17" ht="13.5">
      <c r="C300" s="142"/>
      <c r="D300" s="756" t="s">
        <v>691</v>
      </c>
      <c r="E300" s="109"/>
      <c r="F300" s="756" t="s">
        <v>686</v>
      </c>
      <c r="G300" s="757">
        <v>12</v>
      </c>
      <c r="H300" s="757">
        <v>1986</v>
      </c>
      <c r="I300" s="321">
        <v>23.1</v>
      </c>
      <c r="J300" s="109">
        <f t="shared" si="22"/>
        <v>100</v>
      </c>
      <c r="K300" s="109">
        <f t="shared" si="24"/>
        <v>0</v>
      </c>
      <c r="L300" s="296"/>
      <c r="M300" s="109"/>
      <c r="N300" s="76">
        <f t="shared" si="25"/>
        <v>0</v>
      </c>
      <c r="O300" s="109"/>
      <c r="P300" s="109"/>
      <c r="Q300" s="76">
        <f t="shared" si="23"/>
        <v>0</v>
      </c>
    </row>
    <row r="301" spans="3:17" ht="13.5">
      <c r="C301" s="142"/>
      <c r="D301" s="765" t="s">
        <v>692</v>
      </c>
      <c r="E301" s="109"/>
      <c r="F301" s="756" t="s">
        <v>686</v>
      </c>
      <c r="G301" s="757">
        <v>5</v>
      </c>
      <c r="H301" s="757">
        <v>2007</v>
      </c>
      <c r="I301" s="321">
        <v>213.75</v>
      </c>
      <c r="J301" s="109">
        <f t="shared" si="22"/>
        <v>100</v>
      </c>
      <c r="K301" s="109">
        <f t="shared" si="24"/>
        <v>0</v>
      </c>
      <c r="L301" s="296"/>
      <c r="M301" s="109"/>
      <c r="N301" s="76">
        <f t="shared" si="25"/>
        <v>0</v>
      </c>
      <c r="O301" s="109"/>
      <c r="P301" s="109"/>
      <c r="Q301" s="76">
        <f t="shared" si="23"/>
        <v>0</v>
      </c>
    </row>
    <row r="302" spans="3:17" ht="13.5">
      <c r="C302" s="142"/>
      <c r="D302" s="765" t="s">
        <v>692</v>
      </c>
      <c r="E302" s="109"/>
      <c r="F302" s="756" t="s">
        <v>686</v>
      </c>
      <c r="G302" s="757">
        <v>1</v>
      </c>
      <c r="H302" s="757">
        <v>2004</v>
      </c>
      <c r="I302" s="321">
        <v>45.2</v>
      </c>
      <c r="J302" s="109">
        <f t="shared" si="22"/>
        <v>100</v>
      </c>
      <c r="K302" s="109">
        <f t="shared" si="24"/>
        <v>0</v>
      </c>
      <c r="L302" s="296"/>
      <c r="M302" s="109"/>
      <c r="N302" s="76">
        <f t="shared" si="25"/>
        <v>0</v>
      </c>
      <c r="O302" s="109"/>
      <c r="P302" s="109"/>
      <c r="Q302" s="76">
        <f t="shared" si="23"/>
        <v>0</v>
      </c>
    </row>
    <row r="303" spans="3:17" ht="13.5">
      <c r="C303" s="142"/>
      <c r="D303" s="765" t="s">
        <v>692</v>
      </c>
      <c r="E303" s="109"/>
      <c r="F303" s="756" t="s">
        <v>686</v>
      </c>
      <c r="G303" s="757">
        <v>2</v>
      </c>
      <c r="H303" s="757">
        <v>2000</v>
      </c>
      <c r="I303" s="321">
        <v>102.7</v>
      </c>
      <c r="J303" s="109">
        <f t="shared" si="22"/>
        <v>100</v>
      </c>
      <c r="K303" s="109">
        <f t="shared" si="24"/>
        <v>0</v>
      </c>
      <c r="L303" s="296"/>
      <c r="M303" s="109"/>
      <c r="N303" s="76">
        <f t="shared" si="25"/>
        <v>0</v>
      </c>
      <c r="O303" s="109"/>
      <c r="P303" s="109"/>
      <c r="Q303" s="76">
        <f t="shared" si="23"/>
        <v>0</v>
      </c>
    </row>
    <row r="304" spans="3:17" ht="13.5">
      <c r="C304" s="142"/>
      <c r="D304" s="765" t="s">
        <v>693</v>
      </c>
      <c r="E304" s="109"/>
      <c r="F304" s="756" t="s">
        <v>686</v>
      </c>
      <c r="G304" s="757">
        <v>4</v>
      </c>
      <c r="H304" s="757">
        <v>2004</v>
      </c>
      <c r="I304" s="321">
        <v>741</v>
      </c>
      <c r="J304" s="109">
        <f t="shared" si="22"/>
        <v>100</v>
      </c>
      <c r="K304" s="109">
        <f t="shared" si="24"/>
        <v>0</v>
      </c>
      <c r="L304" s="296"/>
      <c r="M304" s="109"/>
      <c r="N304" s="76">
        <f t="shared" si="25"/>
        <v>0</v>
      </c>
      <c r="O304" s="109"/>
      <c r="P304" s="109"/>
      <c r="Q304" s="76">
        <f t="shared" si="23"/>
        <v>0</v>
      </c>
    </row>
    <row r="305" spans="3:17" ht="13.5">
      <c r="C305" s="142"/>
      <c r="D305" s="756" t="s">
        <v>690</v>
      </c>
      <c r="E305" s="109"/>
      <c r="F305" s="756" t="s">
        <v>686</v>
      </c>
      <c r="G305" s="793">
        <v>2</v>
      </c>
      <c r="H305" s="757">
        <v>2004</v>
      </c>
      <c r="I305" s="321">
        <v>85.5</v>
      </c>
      <c r="J305" s="109">
        <f t="shared" si="22"/>
        <v>100</v>
      </c>
      <c r="K305" s="109">
        <f t="shared" si="24"/>
        <v>0</v>
      </c>
      <c r="L305" s="296"/>
      <c r="M305" s="109"/>
      <c r="N305" s="76">
        <f t="shared" si="25"/>
        <v>0</v>
      </c>
      <c r="O305" s="109"/>
      <c r="P305" s="109"/>
      <c r="Q305" s="76">
        <f t="shared" si="23"/>
        <v>0</v>
      </c>
    </row>
    <row r="306" spans="3:17" ht="13.5">
      <c r="C306" s="142"/>
      <c r="D306" s="765" t="s">
        <v>694</v>
      </c>
      <c r="E306" s="109"/>
      <c r="F306" s="756" t="s">
        <v>686</v>
      </c>
      <c r="G306" s="757">
        <v>8</v>
      </c>
      <c r="H306" s="757">
        <v>2004</v>
      </c>
      <c r="I306" s="321">
        <v>228</v>
      </c>
      <c r="J306" s="109">
        <f t="shared" si="22"/>
        <v>100</v>
      </c>
      <c r="K306" s="109">
        <f t="shared" si="24"/>
        <v>0</v>
      </c>
      <c r="L306" s="296"/>
      <c r="M306" s="109"/>
      <c r="N306" s="76">
        <f t="shared" si="25"/>
        <v>0</v>
      </c>
      <c r="O306" s="109"/>
      <c r="P306" s="109"/>
      <c r="Q306" s="76">
        <f t="shared" si="23"/>
        <v>0</v>
      </c>
    </row>
    <row r="307" spans="3:17" ht="13.5">
      <c r="C307" s="142"/>
      <c r="D307" s="765" t="s">
        <v>695</v>
      </c>
      <c r="E307" s="109"/>
      <c r="F307" s="756" t="s">
        <v>686</v>
      </c>
      <c r="G307" s="766">
        <v>1</v>
      </c>
      <c r="H307" s="767">
        <v>2007</v>
      </c>
      <c r="I307" s="321">
        <v>173.1</v>
      </c>
      <c r="J307" s="109">
        <f t="shared" si="22"/>
        <v>100</v>
      </c>
      <c r="K307" s="109">
        <f t="shared" si="24"/>
        <v>0</v>
      </c>
      <c r="L307" s="296"/>
      <c r="M307" s="109"/>
      <c r="N307" s="76">
        <f t="shared" si="25"/>
        <v>0</v>
      </c>
      <c r="O307" s="109"/>
      <c r="P307" s="109"/>
      <c r="Q307" s="76">
        <f t="shared" si="23"/>
        <v>0</v>
      </c>
    </row>
    <row r="308" spans="3:17" ht="13.5">
      <c r="C308" s="142"/>
      <c r="D308" s="765" t="s">
        <v>692</v>
      </c>
      <c r="E308" s="109"/>
      <c r="F308" s="756" t="s">
        <v>686</v>
      </c>
      <c r="G308" s="766">
        <v>22</v>
      </c>
      <c r="H308" s="767">
        <v>2007</v>
      </c>
      <c r="I308" s="321">
        <v>940.5</v>
      </c>
      <c r="J308" s="109">
        <f t="shared" si="22"/>
        <v>100</v>
      </c>
      <c r="K308" s="109">
        <f t="shared" si="24"/>
        <v>0</v>
      </c>
      <c r="L308" s="296"/>
      <c r="M308" s="109"/>
      <c r="N308" s="76">
        <f t="shared" si="25"/>
        <v>0</v>
      </c>
      <c r="O308" s="109"/>
      <c r="P308" s="109"/>
      <c r="Q308" s="76">
        <f t="shared" si="23"/>
        <v>0</v>
      </c>
    </row>
    <row r="309" spans="3:17" ht="13.5">
      <c r="C309" s="142"/>
      <c r="D309" s="765" t="s">
        <v>689</v>
      </c>
      <c r="E309" s="109"/>
      <c r="F309" s="756" t="s">
        <v>686</v>
      </c>
      <c r="G309" s="766">
        <v>6</v>
      </c>
      <c r="H309" s="767">
        <v>2007</v>
      </c>
      <c r="I309" s="321">
        <v>450</v>
      </c>
      <c r="J309" s="109">
        <f t="shared" si="22"/>
        <v>100</v>
      </c>
      <c r="K309" s="109">
        <f t="shared" si="24"/>
        <v>0</v>
      </c>
      <c r="L309" s="296"/>
      <c r="M309" s="109"/>
      <c r="N309" s="76">
        <f t="shared" si="25"/>
        <v>0</v>
      </c>
      <c r="O309" s="109"/>
      <c r="P309" s="109"/>
      <c r="Q309" s="76">
        <f t="shared" si="23"/>
        <v>0</v>
      </c>
    </row>
    <row r="310" spans="3:17" ht="13.5">
      <c r="C310" s="142"/>
      <c r="D310" s="765" t="s">
        <v>679</v>
      </c>
      <c r="E310" s="109"/>
      <c r="F310" s="756" t="s">
        <v>686</v>
      </c>
      <c r="G310" s="757">
        <v>6</v>
      </c>
      <c r="H310" s="757">
        <v>2007</v>
      </c>
      <c r="I310" s="321">
        <v>210</v>
      </c>
      <c r="J310" s="109">
        <f t="shared" si="22"/>
        <v>100</v>
      </c>
      <c r="K310" s="109">
        <f t="shared" si="24"/>
        <v>0</v>
      </c>
      <c r="L310" s="296"/>
      <c r="M310" s="109"/>
      <c r="N310" s="76">
        <f t="shared" si="25"/>
        <v>0</v>
      </c>
      <c r="O310" s="109"/>
      <c r="P310" s="109"/>
      <c r="Q310" s="76">
        <f t="shared" si="23"/>
        <v>0</v>
      </c>
    </row>
    <row r="311" spans="3:17" ht="13.5">
      <c r="C311" s="142"/>
      <c r="D311" s="765" t="s">
        <v>696</v>
      </c>
      <c r="E311" s="109"/>
      <c r="F311" s="756" t="s">
        <v>686</v>
      </c>
      <c r="G311" s="757">
        <v>1</v>
      </c>
      <c r="H311" s="757">
        <v>1998</v>
      </c>
      <c r="I311" s="321">
        <v>29.3</v>
      </c>
      <c r="J311" s="109">
        <f t="shared" si="22"/>
        <v>100</v>
      </c>
      <c r="K311" s="109">
        <f t="shared" si="24"/>
        <v>0</v>
      </c>
      <c r="L311" s="296"/>
      <c r="M311" s="109"/>
      <c r="N311" s="76">
        <f t="shared" si="25"/>
        <v>0</v>
      </c>
      <c r="O311" s="109"/>
      <c r="P311" s="109"/>
      <c r="Q311" s="76">
        <f t="shared" si="23"/>
        <v>0</v>
      </c>
    </row>
    <row r="312" spans="3:17" ht="13.5">
      <c r="C312" s="142"/>
      <c r="D312" s="765" t="s">
        <v>679</v>
      </c>
      <c r="E312" s="109"/>
      <c r="F312" s="756" t="s">
        <v>686</v>
      </c>
      <c r="G312" s="793">
        <v>30</v>
      </c>
      <c r="H312" s="757">
        <v>2010</v>
      </c>
      <c r="I312" s="321">
        <v>747</v>
      </c>
      <c r="J312" s="109">
        <f t="shared" si="22"/>
        <v>100</v>
      </c>
      <c r="K312" s="109">
        <f t="shared" si="24"/>
        <v>0</v>
      </c>
      <c r="L312" s="296"/>
      <c r="M312" s="109"/>
      <c r="N312" s="76">
        <f t="shared" si="25"/>
        <v>0</v>
      </c>
      <c r="O312" s="109"/>
      <c r="P312" s="109"/>
      <c r="Q312" s="76">
        <f t="shared" si="23"/>
        <v>0</v>
      </c>
    </row>
    <row r="313" spans="3:17" ht="13.5">
      <c r="C313" s="142"/>
      <c r="D313" s="765" t="s">
        <v>697</v>
      </c>
      <c r="E313" s="109"/>
      <c r="F313" s="756" t="s">
        <v>686</v>
      </c>
      <c r="G313" s="767">
        <v>13</v>
      </c>
      <c r="H313" s="767">
        <v>2010</v>
      </c>
      <c r="I313" s="321">
        <v>608.4</v>
      </c>
      <c r="J313" s="109">
        <f aca="true" t="shared" si="26" ref="J313:J344">IF(($J$14-H313)*J$280&gt;100,100,($J$14-H313)*J$280)</f>
        <v>100</v>
      </c>
      <c r="K313" s="109">
        <f t="shared" si="24"/>
        <v>0</v>
      </c>
      <c r="L313" s="296"/>
      <c r="M313" s="109"/>
      <c r="N313" s="76">
        <f t="shared" si="25"/>
        <v>0</v>
      </c>
      <c r="O313" s="109"/>
      <c r="P313" s="109"/>
      <c r="Q313" s="76">
        <f t="shared" si="23"/>
        <v>0</v>
      </c>
    </row>
    <row r="314" spans="3:17" ht="13.5">
      <c r="C314" s="142"/>
      <c r="D314" s="765" t="s">
        <v>698</v>
      </c>
      <c r="E314" s="109"/>
      <c r="F314" s="756" t="s">
        <v>686</v>
      </c>
      <c r="G314" s="767">
        <v>60</v>
      </c>
      <c r="H314" s="767">
        <v>2010</v>
      </c>
      <c r="I314" s="321">
        <v>3894</v>
      </c>
      <c r="J314" s="109">
        <f t="shared" si="26"/>
        <v>100</v>
      </c>
      <c r="K314" s="109">
        <f t="shared" si="24"/>
        <v>0</v>
      </c>
      <c r="L314" s="296"/>
      <c r="M314" s="109"/>
      <c r="N314" s="76">
        <f t="shared" si="25"/>
        <v>0</v>
      </c>
      <c r="O314" s="109"/>
      <c r="P314" s="109"/>
      <c r="Q314" s="76">
        <f t="shared" si="23"/>
        <v>0</v>
      </c>
    </row>
    <row r="315" spans="3:17" ht="13.5">
      <c r="C315" s="142"/>
      <c r="D315" s="765" t="s">
        <v>699</v>
      </c>
      <c r="E315" s="109"/>
      <c r="F315" s="756" t="s">
        <v>686</v>
      </c>
      <c r="G315" s="767">
        <v>60</v>
      </c>
      <c r="H315" s="767">
        <v>2010</v>
      </c>
      <c r="I315" s="321">
        <v>2580</v>
      </c>
      <c r="J315" s="109">
        <f t="shared" si="26"/>
        <v>100</v>
      </c>
      <c r="K315" s="109">
        <f t="shared" si="24"/>
        <v>0</v>
      </c>
      <c r="L315" s="296"/>
      <c r="M315" s="109"/>
      <c r="N315" s="76">
        <f t="shared" si="25"/>
        <v>0</v>
      </c>
      <c r="O315" s="109"/>
      <c r="P315" s="109"/>
      <c r="Q315" s="76">
        <f t="shared" si="23"/>
        <v>0</v>
      </c>
    </row>
    <row r="316" spans="3:17" ht="13.5">
      <c r="C316" s="142"/>
      <c r="D316" s="765" t="s">
        <v>700</v>
      </c>
      <c r="E316" s="109"/>
      <c r="F316" s="756" t="s">
        <v>686</v>
      </c>
      <c r="G316" s="767">
        <v>20</v>
      </c>
      <c r="H316" s="767">
        <v>2010</v>
      </c>
      <c r="I316" s="321">
        <v>460</v>
      </c>
      <c r="J316" s="109">
        <f t="shared" si="26"/>
        <v>100</v>
      </c>
      <c r="K316" s="109">
        <f t="shared" si="24"/>
        <v>0</v>
      </c>
      <c r="L316" s="296"/>
      <c r="M316" s="109"/>
      <c r="N316" s="76">
        <f t="shared" si="25"/>
        <v>0</v>
      </c>
      <c r="O316" s="109"/>
      <c r="P316" s="109"/>
      <c r="Q316" s="76">
        <f t="shared" si="23"/>
        <v>0</v>
      </c>
    </row>
    <row r="317" spans="3:17" ht="13.5">
      <c r="C317" s="142"/>
      <c r="D317" s="765" t="s">
        <v>701</v>
      </c>
      <c r="E317" s="109"/>
      <c r="F317" s="756" t="s">
        <v>686</v>
      </c>
      <c r="G317" s="767">
        <v>33</v>
      </c>
      <c r="H317" s="767">
        <v>2010</v>
      </c>
      <c r="I317" s="321">
        <v>3234</v>
      </c>
      <c r="J317" s="109">
        <f t="shared" si="26"/>
        <v>100</v>
      </c>
      <c r="K317" s="109">
        <f t="shared" si="24"/>
        <v>0</v>
      </c>
      <c r="L317" s="296"/>
      <c r="M317" s="109"/>
      <c r="N317" s="76">
        <f t="shared" si="25"/>
        <v>0</v>
      </c>
      <c r="O317" s="109"/>
      <c r="P317" s="109"/>
      <c r="Q317" s="76">
        <f t="shared" si="23"/>
        <v>0</v>
      </c>
    </row>
    <row r="318" spans="3:17" ht="13.5">
      <c r="C318" s="142"/>
      <c r="D318" s="765" t="s">
        <v>702</v>
      </c>
      <c r="E318" s="109"/>
      <c r="F318" s="756" t="s">
        <v>686</v>
      </c>
      <c r="G318" s="767">
        <v>16</v>
      </c>
      <c r="H318" s="767">
        <v>2010</v>
      </c>
      <c r="I318" s="321">
        <v>1248</v>
      </c>
      <c r="J318" s="109">
        <f t="shared" si="26"/>
        <v>100</v>
      </c>
      <c r="K318" s="109">
        <f t="shared" si="24"/>
        <v>0</v>
      </c>
      <c r="L318" s="296"/>
      <c r="M318" s="109"/>
      <c r="N318" s="76">
        <f t="shared" si="25"/>
        <v>0</v>
      </c>
      <c r="O318" s="109"/>
      <c r="P318" s="109"/>
      <c r="Q318" s="76">
        <f t="shared" si="23"/>
        <v>0</v>
      </c>
    </row>
    <row r="319" spans="3:17" ht="13.5">
      <c r="C319" s="142"/>
      <c r="D319" s="765" t="s">
        <v>703</v>
      </c>
      <c r="E319" s="109"/>
      <c r="F319" s="756" t="s">
        <v>686</v>
      </c>
      <c r="G319" s="767">
        <v>17</v>
      </c>
      <c r="H319" s="767">
        <v>2010</v>
      </c>
      <c r="I319" s="321">
        <v>2295</v>
      </c>
      <c r="J319" s="109">
        <f t="shared" si="26"/>
        <v>100</v>
      </c>
      <c r="K319" s="109">
        <f t="shared" si="24"/>
        <v>0</v>
      </c>
      <c r="L319" s="296"/>
      <c r="M319" s="109"/>
      <c r="N319" s="76">
        <f t="shared" si="25"/>
        <v>0</v>
      </c>
      <c r="O319" s="109"/>
      <c r="P319" s="109"/>
      <c r="Q319" s="76">
        <f t="shared" si="23"/>
        <v>0</v>
      </c>
    </row>
    <row r="320" spans="3:17" ht="13.5">
      <c r="C320" s="142"/>
      <c r="D320" s="765" t="s">
        <v>704</v>
      </c>
      <c r="E320" s="109"/>
      <c r="F320" s="756" t="s">
        <v>686</v>
      </c>
      <c r="G320" s="767">
        <v>1</v>
      </c>
      <c r="H320" s="767">
        <v>2010</v>
      </c>
      <c r="I320" s="321">
        <v>340</v>
      </c>
      <c r="J320" s="109">
        <f t="shared" si="26"/>
        <v>100</v>
      </c>
      <c r="K320" s="109">
        <f t="shared" si="24"/>
        <v>0</v>
      </c>
      <c r="L320" s="296"/>
      <c r="M320" s="109"/>
      <c r="N320" s="76">
        <f t="shared" si="25"/>
        <v>0</v>
      </c>
      <c r="O320" s="109"/>
      <c r="P320" s="109"/>
      <c r="Q320" s="76">
        <f t="shared" si="23"/>
        <v>0</v>
      </c>
    </row>
    <row r="321" spans="3:17" ht="13.5">
      <c r="C321" s="142"/>
      <c r="D321" s="765" t="s">
        <v>705</v>
      </c>
      <c r="E321" s="109"/>
      <c r="F321" s="756" t="s">
        <v>686</v>
      </c>
      <c r="G321" s="767">
        <v>15</v>
      </c>
      <c r="H321" s="767">
        <v>2011</v>
      </c>
      <c r="I321" s="321">
        <v>900</v>
      </c>
      <c r="J321" s="109">
        <f t="shared" si="26"/>
        <v>100</v>
      </c>
      <c r="K321" s="109">
        <f t="shared" si="24"/>
        <v>0</v>
      </c>
      <c r="L321" s="296"/>
      <c r="M321" s="109"/>
      <c r="N321" s="76">
        <f t="shared" si="25"/>
        <v>0</v>
      </c>
      <c r="O321" s="109"/>
      <c r="P321" s="109"/>
      <c r="Q321" s="76">
        <f t="shared" si="23"/>
        <v>0</v>
      </c>
    </row>
    <row r="322" spans="3:17" ht="13.5">
      <c r="C322" s="142"/>
      <c r="D322" s="765" t="s">
        <v>706</v>
      </c>
      <c r="E322" s="109"/>
      <c r="F322" s="756" t="s">
        <v>686</v>
      </c>
      <c r="G322" s="767">
        <v>1</v>
      </c>
      <c r="H322" s="767">
        <v>2012</v>
      </c>
      <c r="I322" s="321">
        <v>565.1</v>
      </c>
      <c r="J322" s="109">
        <f t="shared" si="26"/>
        <v>100</v>
      </c>
      <c r="K322" s="109">
        <f t="shared" si="24"/>
        <v>0</v>
      </c>
      <c r="L322" s="296"/>
      <c r="M322" s="109"/>
      <c r="N322" s="76">
        <f t="shared" si="25"/>
        <v>0</v>
      </c>
      <c r="O322" s="109"/>
      <c r="P322" s="109"/>
      <c r="Q322" s="76">
        <f t="shared" si="23"/>
        <v>0</v>
      </c>
    </row>
    <row r="323" spans="3:17" ht="13.5">
      <c r="C323" s="142"/>
      <c r="D323" s="765" t="s">
        <v>707</v>
      </c>
      <c r="E323" s="109"/>
      <c r="F323" s="756" t="s">
        <v>686</v>
      </c>
      <c r="G323" s="767">
        <v>6</v>
      </c>
      <c r="H323" s="767">
        <v>2012</v>
      </c>
      <c r="I323" s="321">
        <v>421.2</v>
      </c>
      <c r="J323" s="109">
        <f t="shared" si="26"/>
        <v>100</v>
      </c>
      <c r="K323" s="109">
        <f t="shared" si="24"/>
        <v>0</v>
      </c>
      <c r="L323" s="296"/>
      <c r="M323" s="109"/>
      <c r="N323" s="76">
        <f t="shared" si="25"/>
        <v>0</v>
      </c>
      <c r="O323" s="109"/>
      <c r="P323" s="109"/>
      <c r="Q323" s="76">
        <f t="shared" si="23"/>
        <v>0</v>
      </c>
    </row>
    <row r="324" spans="3:17" ht="13.5">
      <c r="C324" s="142"/>
      <c r="D324" s="765" t="s">
        <v>708</v>
      </c>
      <c r="E324" s="109"/>
      <c r="F324" s="756" t="s">
        <v>686</v>
      </c>
      <c r="G324" s="767">
        <v>1</v>
      </c>
      <c r="H324" s="767">
        <v>2012</v>
      </c>
      <c r="I324" s="321">
        <v>109.2</v>
      </c>
      <c r="J324" s="109">
        <f t="shared" si="26"/>
        <v>100</v>
      </c>
      <c r="K324" s="109">
        <f t="shared" si="24"/>
        <v>0</v>
      </c>
      <c r="L324" s="296"/>
      <c r="M324" s="109"/>
      <c r="N324" s="76">
        <f t="shared" si="25"/>
        <v>0</v>
      </c>
      <c r="O324" s="109"/>
      <c r="P324" s="109"/>
      <c r="Q324" s="76">
        <f t="shared" si="23"/>
        <v>0</v>
      </c>
    </row>
    <row r="325" spans="3:17" ht="13.5">
      <c r="C325" s="142"/>
      <c r="D325" s="765" t="s">
        <v>709</v>
      </c>
      <c r="E325" s="109"/>
      <c r="F325" s="756" t="s">
        <v>686</v>
      </c>
      <c r="G325" s="767">
        <v>1</v>
      </c>
      <c r="H325" s="767">
        <v>2012</v>
      </c>
      <c r="I325" s="321">
        <v>163.8</v>
      </c>
      <c r="J325" s="109">
        <f t="shared" si="26"/>
        <v>100</v>
      </c>
      <c r="K325" s="109">
        <f t="shared" si="24"/>
        <v>0</v>
      </c>
      <c r="L325" s="296"/>
      <c r="M325" s="109"/>
      <c r="N325" s="76">
        <f t="shared" si="25"/>
        <v>0</v>
      </c>
      <c r="O325" s="109"/>
      <c r="P325" s="109"/>
      <c r="Q325" s="76">
        <f t="shared" si="23"/>
        <v>0</v>
      </c>
    </row>
    <row r="326" spans="3:17" ht="13.5">
      <c r="C326" s="142"/>
      <c r="D326" s="765" t="s">
        <v>710</v>
      </c>
      <c r="E326" s="109"/>
      <c r="F326" s="756" t="s">
        <v>686</v>
      </c>
      <c r="G326" s="767">
        <v>1</v>
      </c>
      <c r="H326" s="767">
        <v>2012</v>
      </c>
      <c r="I326" s="321">
        <v>136.5</v>
      </c>
      <c r="J326" s="109">
        <f t="shared" si="26"/>
        <v>100</v>
      </c>
      <c r="K326" s="109">
        <f t="shared" si="24"/>
        <v>0</v>
      </c>
      <c r="L326" s="296"/>
      <c r="M326" s="109"/>
      <c r="N326" s="76">
        <f t="shared" si="25"/>
        <v>0</v>
      </c>
      <c r="O326" s="109"/>
      <c r="P326" s="109"/>
      <c r="Q326" s="76">
        <f t="shared" si="23"/>
        <v>0</v>
      </c>
    </row>
    <row r="327" spans="3:17" ht="13.5">
      <c r="C327" s="142"/>
      <c r="D327" s="765" t="s">
        <v>711</v>
      </c>
      <c r="E327" s="109"/>
      <c r="F327" s="756" t="s">
        <v>686</v>
      </c>
      <c r="G327" s="757">
        <v>2</v>
      </c>
      <c r="H327" s="767">
        <v>2012</v>
      </c>
      <c r="I327" s="321">
        <v>78</v>
      </c>
      <c r="J327" s="109">
        <f t="shared" si="26"/>
        <v>100</v>
      </c>
      <c r="K327" s="109">
        <f t="shared" si="24"/>
        <v>0</v>
      </c>
      <c r="L327" s="296"/>
      <c r="M327" s="109"/>
      <c r="N327" s="76">
        <f t="shared" si="25"/>
        <v>0</v>
      </c>
      <c r="O327" s="109"/>
      <c r="P327" s="109"/>
      <c r="Q327" s="76">
        <f t="shared" si="23"/>
        <v>0</v>
      </c>
    </row>
    <row r="328" spans="3:17" ht="13.5">
      <c r="C328" s="142"/>
      <c r="D328" s="765" t="s">
        <v>712</v>
      </c>
      <c r="E328" s="109"/>
      <c r="F328" s="756" t="s">
        <v>686</v>
      </c>
      <c r="G328" s="757">
        <v>5</v>
      </c>
      <c r="H328" s="767">
        <v>2012</v>
      </c>
      <c r="I328" s="321">
        <v>498</v>
      </c>
      <c r="J328" s="109">
        <f t="shared" si="26"/>
        <v>100</v>
      </c>
      <c r="K328" s="109">
        <f t="shared" si="24"/>
        <v>0</v>
      </c>
      <c r="L328" s="296"/>
      <c r="M328" s="109"/>
      <c r="N328" s="76">
        <f t="shared" si="25"/>
        <v>0</v>
      </c>
      <c r="O328" s="109"/>
      <c r="P328" s="109"/>
      <c r="Q328" s="76">
        <f t="shared" si="23"/>
        <v>0</v>
      </c>
    </row>
    <row r="329" spans="3:17" ht="13.5">
      <c r="C329" s="142"/>
      <c r="D329" s="765" t="s">
        <v>679</v>
      </c>
      <c r="E329" s="109"/>
      <c r="F329" s="756" t="s">
        <v>686</v>
      </c>
      <c r="G329" s="767">
        <v>12</v>
      </c>
      <c r="H329" s="767">
        <v>2012</v>
      </c>
      <c r="I329" s="321">
        <v>505.44</v>
      </c>
      <c r="J329" s="109">
        <f t="shared" si="26"/>
        <v>100</v>
      </c>
      <c r="K329" s="109">
        <f t="shared" si="24"/>
        <v>0</v>
      </c>
      <c r="L329" s="296"/>
      <c r="M329" s="109"/>
      <c r="N329" s="76">
        <f t="shared" si="25"/>
        <v>0</v>
      </c>
      <c r="O329" s="109"/>
      <c r="P329" s="109"/>
      <c r="Q329" s="76">
        <f t="shared" si="23"/>
        <v>0</v>
      </c>
    </row>
    <row r="330" spans="3:17" ht="13.5">
      <c r="C330" s="142"/>
      <c r="D330" s="765" t="s">
        <v>713</v>
      </c>
      <c r="E330" s="109"/>
      <c r="F330" s="756" t="s">
        <v>686</v>
      </c>
      <c r="G330" s="767">
        <v>1</v>
      </c>
      <c r="H330" s="767">
        <v>2013</v>
      </c>
      <c r="I330" s="321">
        <v>1425</v>
      </c>
      <c r="J330" s="109">
        <f t="shared" si="26"/>
        <v>100</v>
      </c>
      <c r="K330" s="109">
        <f t="shared" si="24"/>
        <v>0</v>
      </c>
      <c r="L330" s="296"/>
      <c r="M330" s="109"/>
      <c r="N330" s="76">
        <f t="shared" si="25"/>
        <v>0</v>
      </c>
      <c r="O330" s="109"/>
      <c r="P330" s="109"/>
      <c r="Q330" s="76">
        <f t="shared" si="23"/>
        <v>0</v>
      </c>
    </row>
    <row r="331" spans="3:17" ht="13.5">
      <c r="C331" s="142"/>
      <c r="D331" s="765" t="s">
        <v>714</v>
      </c>
      <c r="E331" s="109"/>
      <c r="F331" s="756" t="s">
        <v>686</v>
      </c>
      <c r="G331" s="767">
        <v>3</v>
      </c>
      <c r="H331" s="767">
        <v>2013</v>
      </c>
      <c r="I331" s="321">
        <v>795</v>
      </c>
      <c r="J331" s="109">
        <f t="shared" si="26"/>
        <v>100</v>
      </c>
      <c r="K331" s="109">
        <f t="shared" si="24"/>
        <v>0</v>
      </c>
      <c r="L331" s="296"/>
      <c r="M331" s="109"/>
      <c r="N331" s="76">
        <f t="shared" si="25"/>
        <v>0</v>
      </c>
      <c r="O331" s="109"/>
      <c r="P331" s="109"/>
      <c r="Q331" s="76">
        <f t="shared" si="23"/>
        <v>0</v>
      </c>
    </row>
    <row r="332" spans="3:17" ht="13.5">
      <c r="C332" s="142"/>
      <c r="D332" s="765" t="s">
        <v>715</v>
      </c>
      <c r="E332" s="109"/>
      <c r="F332" s="756" t="s">
        <v>686</v>
      </c>
      <c r="G332" s="767">
        <v>1</v>
      </c>
      <c r="H332" s="767">
        <v>2008</v>
      </c>
      <c r="I332" s="321">
        <v>435</v>
      </c>
      <c r="J332" s="109">
        <f t="shared" si="26"/>
        <v>100</v>
      </c>
      <c r="K332" s="109">
        <f t="shared" si="24"/>
        <v>0</v>
      </c>
      <c r="L332" s="296"/>
      <c r="M332" s="109"/>
      <c r="N332" s="76">
        <f t="shared" si="25"/>
        <v>0</v>
      </c>
      <c r="O332" s="109"/>
      <c r="P332" s="109"/>
      <c r="Q332" s="76">
        <f t="shared" si="23"/>
        <v>0</v>
      </c>
    </row>
    <row r="333" spans="3:17" ht="13.5">
      <c r="C333" s="142"/>
      <c r="D333" s="765" t="s">
        <v>716</v>
      </c>
      <c r="E333" s="109"/>
      <c r="F333" s="756" t="s">
        <v>686</v>
      </c>
      <c r="G333" s="767">
        <v>3</v>
      </c>
      <c r="H333" s="767">
        <v>2007</v>
      </c>
      <c r="I333" s="321">
        <v>105</v>
      </c>
      <c r="J333" s="109">
        <f t="shared" si="26"/>
        <v>100</v>
      </c>
      <c r="K333" s="109">
        <f t="shared" si="24"/>
        <v>0</v>
      </c>
      <c r="L333" s="296"/>
      <c r="M333" s="109"/>
      <c r="N333" s="76">
        <f t="shared" si="25"/>
        <v>0</v>
      </c>
      <c r="O333" s="109"/>
      <c r="P333" s="109"/>
      <c r="Q333" s="76">
        <f t="shared" si="23"/>
        <v>0</v>
      </c>
    </row>
    <row r="334" spans="3:17" ht="13.5">
      <c r="C334" s="142"/>
      <c r="D334" s="765" t="s">
        <v>716</v>
      </c>
      <c r="E334" s="109"/>
      <c r="F334" s="756" t="s">
        <v>686</v>
      </c>
      <c r="G334" s="767">
        <v>15</v>
      </c>
      <c r="H334" s="767">
        <v>2013</v>
      </c>
      <c r="I334" s="321">
        <v>217.5</v>
      </c>
      <c r="J334" s="109">
        <f t="shared" si="26"/>
        <v>100</v>
      </c>
      <c r="K334" s="109">
        <f t="shared" si="24"/>
        <v>0</v>
      </c>
      <c r="L334" s="296"/>
      <c r="M334" s="109"/>
      <c r="N334" s="76">
        <f t="shared" si="25"/>
        <v>0</v>
      </c>
      <c r="O334" s="109"/>
      <c r="P334" s="109"/>
      <c r="Q334" s="76">
        <f t="shared" si="23"/>
        <v>0</v>
      </c>
    </row>
    <row r="335" spans="3:17" ht="13.5">
      <c r="C335" s="142"/>
      <c r="D335" s="765" t="s">
        <v>690</v>
      </c>
      <c r="E335" s="109"/>
      <c r="F335" s="756" t="s">
        <v>686</v>
      </c>
      <c r="G335" s="767">
        <v>6</v>
      </c>
      <c r="H335" s="767">
        <v>2013</v>
      </c>
      <c r="I335" s="321">
        <v>264</v>
      </c>
      <c r="J335" s="109">
        <f t="shared" si="26"/>
        <v>100</v>
      </c>
      <c r="K335" s="109">
        <f t="shared" si="24"/>
        <v>0</v>
      </c>
      <c r="L335" s="296"/>
      <c r="M335" s="109"/>
      <c r="N335" s="76">
        <f t="shared" si="25"/>
        <v>0</v>
      </c>
      <c r="O335" s="109"/>
      <c r="P335" s="109"/>
      <c r="Q335" s="76">
        <f t="shared" si="23"/>
        <v>0</v>
      </c>
    </row>
    <row r="336" spans="3:17" ht="13.5">
      <c r="C336" s="142"/>
      <c r="D336" s="765" t="s">
        <v>717</v>
      </c>
      <c r="E336" s="109"/>
      <c r="F336" s="756" t="s">
        <v>686</v>
      </c>
      <c r="G336" s="767">
        <v>1</v>
      </c>
      <c r="H336" s="767">
        <v>2014</v>
      </c>
      <c r="I336" s="321">
        <v>2380</v>
      </c>
      <c r="J336" s="109">
        <f t="shared" si="26"/>
        <v>90</v>
      </c>
      <c r="K336" s="109">
        <f t="shared" si="24"/>
        <v>238</v>
      </c>
      <c r="L336" s="296"/>
      <c r="M336" s="109"/>
      <c r="N336" s="76">
        <f t="shared" si="25"/>
        <v>0</v>
      </c>
      <c r="O336" s="109"/>
      <c r="P336" s="109"/>
      <c r="Q336" s="76">
        <f t="shared" si="23"/>
        <v>0</v>
      </c>
    </row>
    <row r="337" spans="3:17" ht="13.5">
      <c r="C337" s="142"/>
      <c r="D337" s="765" t="s">
        <v>718</v>
      </c>
      <c r="E337" s="109"/>
      <c r="F337" s="756" t="s">
        <v>686</v>
      </c>
      <c r="G337" s="767">
        <v>47</v>
      </c>
      <c r="H337" s="767">
        <v>2014</v>
      </c>
      <c r="I337" s="321">
        <v>1316</v>
      </c>
      <c r="J337" s="109">
        <f t="shared" si="26"/>
        <v>90</v>
      </c>
      <c r="K337" s="109">
        <f t="shared" si="24"/>
        <v>131.5999999999999</v>
      </c>
      <c r="L337" s="296"/>
      <c r="M337" s="109"/>
      <c r="N337" s="76">
        <f t="shared" si="25"/>
        <v>0</v>
      </c>
      <c r="O337" s="109"/>
      <c r="P337" s="109"/>
      <c r="Q337" s="76">
        <f t="shared" si="23"/>
        <v>0</v>
      </c>
    </row>
    <row r="338" spans="3:17" ht="13.5">
      <c r="C338" s="142"/>
      <c r="D338" s="765" t="s">
        <v>719</v>
      </c>
      <c r="E338" s="109"/>
      <c r="F338" s="756" t="s">
        <v>686</v>
      </c>
      <c r="G338" s="767">
        <v>12</v>
      </c>
      <c r="H338" s="767">
        <v>2014</v>
      </c>
      <c r="I338" s="321">
        <v>300</v>
      </c>
      <c r="J338" s="109">
        <f t="shared" si="26"/>
        <v>90</v>
      </c>
      <c r="K338" s="109">
        <f t="shared" si="24"/>
        <v>30</v>
      </c>
      <c r="L338" s="296"/>
      <c r="M338" s="109"/>
      <c r="N338" s="76">
        <f t="shared" si="25"/>
        <v>0</v>
      </c>
      <c r="O338" s="109"/>
      <c r="P338" s="109"/>
      <c r="Q338" s="76">
        <f t="shared" si="23"/>
        <v>0</v>
      </c>
    </row>
    <row r="339" spans="3:17" ht="13.5">
      <c r="C339" s="142"/>
      <c r="D339" s="765" t="s">
        <v>720</v>
      </c>
      <c r="E339" s="109"/>
      <c r="F339" s="756" t="s">
        <v>686</v>
      </c>
      <c r="G339" s="767">
        <v>35</v>
      </c>
      <c r="H339" s="767">
        <v>2014</v>
      </c>
      <c r="I339" s="321">
        <v>1330</v>
      </c>
      <c r="J339" s="109">
        <f t="shared" si="26"/>
        <v>90</v>
      </c>
      <c r="K339" s="109">
        <f t="shared" si="24"/>
        <v>133</v>
      </c>
      <c r="L339" s="296"/>
      <c r="M339" s="109"/>
      <c r="N339" s="76">
        <f t="shared" si="25"/>
        <v>0</v>
      </c>
      <c r="O339" s="109"/>
      <c r="P339" s="109"/>
      <c r="Q339" s="76">
        <f t="shared" si="23"/>
        <v>0</v>
      </c>
    </row>
    <row r="340" spans="3:17" ht="13.5">
      <c r="C340" s="142"/>
      <c r="D340" s="765" t="s">
        <v>702</v>
      </c>
      <c r="E340" s="109"/>
      <c r="F340" s="756" t="s">
        <v>686</v>
      </c>
      <c r="G340" s="767">
        <v>8</v>
      </c>
      <c r="H340" s="767">
        <v>2014</v>
      </c>
      <c r="I340" s="321">
        <v>463.984</v>
      </c>
      <c r="J340" s="109">
        <f t="shared" si="26"/>
        <v>90</v>
      </c>
      <c r="K340" s="109">
        <f t="shared" si="24"/>
        <v>46.39839999999998</v>
      </c>
      <c r="L340" s="296"/>
      <c r="M340" s="109"/>
      <c r="N340" s="76">
        <f t="shared" si="25"/>
        <v>0</v>
      </c>
      <c r="O340" s="109"/>
      <c r="P340" s="109"/>
      <c r="Q340" s="76">
        <f t="shared" si="23"/>
        <v>0</v>
      </c>
    </row>
    <row r="341" spans="3:17" ht="13.5">
      <c r="C341" s="142"/>
      <c r="D341" s="765" t="s">
        <v>721</v>
      </c>
      <c r="E341" s="109"/>
      <c r="F341" s="756" t="s">
        <v>686</v>
      </c>
      <c r="G341" s="767">
        <v>20</v>
      </c>
      <c r="H341" s="767">
        <v>2014</v>
      </c>
      <c r="I341" s="321">
        <v>300</v>
      </c>
      <c r="J341" s="109">
        <f t="shared" si="26"/>
        <v>90</v>
      </c>
      <c r="K341" s="109">
        <f t="shared" si="24"/>
        <v>30</v>
      </c>
      <c r="L341" s="296"/>
      <c r="M341" s="109"/>
      <c r="N341" s="76">
        <f t="shared" si="25"/>
        <v>0</v>
      </c>
      <c r="O341" s="109"/>
      <c r="P341" s="109"/>
      <c r="Q341" s="76">
        <f t="shared" si="23"/>
        <v>0</v>
      </c>
    </row>
    <row r="342" spans="3:17" ht="13.5">
      <c r="C342" s="142"/>
      <c r="D342" s="765" t="s">
        <v>722</v>
      </c>
      <c r="E342" s="109"/>
      <c r="F342" s="756" t="s">
        <v>686</v>
      </c>
      <c r="G342" s="767">
        <v>1</v>
      </c>
      <c r="H342" s="767">
        <v>2014</v>
      </c>
      <c r="I342" s="321">
        <v>130</v>
      </c>
      <c r="J342" s="109">
        <f t="shared" si="26"/>
        <v>90</v>
      </c>
      <c r="K342" s="109">
        <f t="shared" si="24"/>
        <v>13</v>
      </c>
      <c r="L342" s="296"/>
      <c r="M342" s="109"/>
      <c r="N342" s="76">
        <f t="shared" si="25"/>
        <v>0</v>
      </c>
      <c r="O342" s="109"/>
      <c r="P342" s="109"/>
      <c r="Q342" s="76">
        <f t="shared" si="23"/>
        <v>0</v>
      </c>
    </row>
    <row r="343" spans="3:17" ht="13.5">
      <c r="C343" s="142"/>
      <c r="D343" s="765" t="s">
        <v>697</v>
      </c>
      <c r="E343" s="109"/>
      <c r="F343" s="756" t="s">
        <v>686</v>
      </c>
      <c r="G343" s="767">
        <v>12</v>
      </c>
      <c r="H343" s="767">
        <v>2014</v>
      </c>
      <c r="I343" s="321">
        <v>1200</v>
      </c>
      <c r="J343" s="109">
        <f t="shared" si="26"/>
        <v>90</v>
      </c>
      <c r="K343" s="109">
        <f t="shared" si="24"/>
        <v>120</v>
      </c>
      <c r="L343" s="296"/>
      <c r="M343" s="109"/>
      <c r="N343" s="76">
        <f t="shared" si="25"/>
        <v>0</v>
      </c>
      <c r="O343" s="109"/>
      <c r="P343" s="109"/>
      <c r="Q343" s="76">
        <f t="shared" si="23"/>
        <v>0</v>
      </c>
    </row>
    <row r="344" spans="3:17" ht="13.5">
      <c r="C344" s="142"/>
      <c r="D344" s="765" t="s">
        <v>723</v>
      </c>
      <c r="E344" s="109"/>
      <c r="F344" s="756" t="s">
        <v>686</v>
      </c>
      <c r="G344" s="767">
        <v>4</v>
      </c>
      <c r="H344" s="767">
        <v>2014</v>
      </c>
      <c r="I344" s="321">
        <v>300</v>
      </c>
      <c r="J344" s="109">
        <f t="shared" si="26"/>
        <v>90</v>
      </c>
      <c r="K344" s="109">
        <f aca="true" t="shared" si="27" ref="K344:K408">IF(J344=100,0,I344-I344*J344%)</f>
        <v>30</v>
      </c>
      <c r="L344" s="296"/>
      <c r="M344" s="109"/>
      <c r="N344" s="76">
        <f t="shared" si="25"/>
        <v>0</v>
      </c>
      <c r="O344" s="109"/>
      <c r="P344" s="109"/>
      <c r="Q344" s="76">
        <f t="shared" si="23"/>
        <v>0</v>
      </c>
    </row>
    <row r="345" spans="3:17" ht="13.5">
      <c r="C345" s="142"/>
      <c r="D345" s="765" t="s">
        <v>724</v>
      </c>
      <c r="E345" s="109"/>
      <c r="F345" s="756" t="s">
        <v>686</v>
      </c>
      <c r="G345" s="767">
        <v>6</v>
      </c>
      <c r="H345" s="767">
        <v>2014</v>
      </c>
      <c r="I345" s="321">
        <v>330</v>
      </c>
      <c r="J345" s="109">
        <f aca="true" t="shared" si="28" ref="J345:J376">IF(($J$14-H345)*J$280&gt;100,100,($J$14-H345)*J$280)</f>
        <v>90</v>
      </c>
      <c r="K345" s="109">
        <f t="shared" si="27"/>
        <v>33</v>
      </c>
      <c r="L345" s="296"/>
      <c r="M345" s="109"/>
      <c r="N345" s="76">
        <f t="shared" si="25"/>
        <v>0</v>
      </c>
      <c r="O345" s="109"/>
      <c r="P345" s="109"/>
      <c r="Q345" s="76">
        <f t="shared" si="23"/>
        <v>0</v>
      </c>
    </row>
    <row r="346" spans="3:17" ht="13.5">
      <c r="C346" s="142"/>
      <c r="D346" s="768" t="s">
        <v>725</v>
      </c>
      <c r="E346" s="109"/>
      <c r="F346" s="756" t="s">
        <v>686</v>
      </c>
      <c r="G346" s="771">
        <v>7</v>
      </c>
      <c r="H346" s="771">
        <v>2015</v>
      </c>
      <c r="I346" s="321">
        <v>63</v>
      </c>
      <c r="J346" s="109">
        <f t="shared" si="28"/>
        <v>80</v>
      </c>
      <c r="K346" s="109">
        <f t="shared" si="27"/>
        <v>12.599999999999994</v>
      </c>
      <c r="L346" s="296"/>
      <c r="M346" s="109"/>
      <c r="N346" s="76">
        <f t="shared" si="25"/>
        <v>0</v>
      </c>
      <c r="O346" s="109"/>
      <c r="P346" s="109"/>
      <c r="Q346" s="76">
        <f aca="true" t="shared" si="29" ref="Q346:Q409">+O346*P346</f>
        <v>0</v>
      </c>
    </row>
    <row r="347" spans="3:17" ht="13.5">
      <c r="C347" s="142"/>
      <c r="D347" s="768" t="s">
        <v>726</v>
      </c>
      <c r="E347" s="109"/>
      <c r="F347" s="756" t="s">
        <v>686</v>
      </c>
      <c r="G347" s="771">
        <v>4</v>
      </c>
      <c r="H347" s="771">
        <v>2015</v>
      </c>
      <c r="I347" s="321">
        <v>167.2</v>
      </c>
      <c r="J347" s="109">
        <f t="shared" si="28"/>
        <v>80</v>
      </c>
      <c r="K347" s="109">
        <f t="shared" si="27"/>
        <v>33.44</v>
      </c>
      <c r="L347" s="296"/>
      <c r="M347" s="109"/>
      <c r="N347" s="76">
        <f aca="true" t="shared" si="30" ref="N347:N409">+L347*M347</f>
        <v>0</v>
      </c>
      <c r="O347" s="109"/>
      <c r="P347" s="109"/>
      <c r="Q347" s="76">
        <f t="shared" si="29"/>
        <v>0</v>
      </c>
    </row>
    <row r="348" spans="3:17" ht="13.5">
      <c r="C348" s="142"/>
      <c r="D348" s="768" t="s">
        <v>714</v>
      </c>
      <c r="E348" s="109"/>
      <c r="F348" s="756" t="s">
        <v>686</v>
      </c>
      <c r="G348" s="771">
        <v>3</v>
      </c>
      <c r="H348" s="771">
        <v>2015</v>
      </c>
      <c r="I348" s="321">
        <v>171.8</v>
      </c>
      <c r="J348" s="109">
        <f t="shared" si="28"/>
        <v>80</v>
      </c>
      <c r="K348" s="109">
        <f t="shared" si="27"/>
        <v>34.359999999999985</v>
      </c>
      <c r="L348" s="296"/>
      <c r="M348" s="109"/>
      <c r="N348" s="76">
        <f t="shared" si="30"/>
        <v>0</v>
      </c>
      <c r="O348" s="109"/>
      <c r="P348" s="109"/>
      <c r="Q348" s="76">
        <f t="shared" si="29"/>
        <v>0</v>
      </c>
    </row>
    <row r="349" spans="3:17" ht="13.5">
      <c r="C349" s="142"/>
      <c r="D349" s="768" t="s">
        <v>718</v>
      </c>
      <c r="E349" s="109"/>
      <c r="F349" s="756" t="s">
        <v>686</v>
      </c>
      <c r="G349" s="771">
        <v>4</v>
      </c>
      <c r="H349" s="771">
        <v>2015</v>
      </c>
      <c r="I349" s="321">
        <v>75.6</v>
      </c>
      <c r="J349" s="109">
        <f t="shared" si="28"/>
        <v>80</v>
      </c>
      <c r="K349" s="109">
        <f t="shared" si="27"/>
        <v>15.119999999999997</v>
      </c>
      <c r="L349" s="296"/>
      <c r="M349" s="109"/>
      <c r="N349" s="76">
        <f t="shared" si="30"/>
        <v>0</v>
      </c>
      <c r="O349" s="109"/>
      <c r="P349" s="109"/>
      <c r="Q349" s="76">
        <f t="shared" si="29"/>
        <v>0</v>
      </c>
    </row>
    <row r="350" spans="3:17" ht="13.5">
      <c r="C350" s="142"/>
      <c r="D350" s="768" t="s">
        <v>702</v>
      </c>
      <c r="E350" s="109"/>
      <c r="F350" s="756" t="s">
        <v>686</v>
      </c>
      <c r="G350" s="771">
        <v>3</v>
      </c>
      <c r="H350" s="771">
        <v>2015</v>
      </c>
      <c r="I350" s="321">
        <v>154.2</v>
      </c>
      <c r="J350" s="109">
        <f t="shared" si="28"/>
        <v>80</v>
      </c>
      <c r="K350" s="109">
        <f t="shared" si="27"/>
        <v>30.83999999999999</v>
      </c>
      <c r="L350" s="296"/>
      <c r="M350" s="109"/>
      <c r="N350" s="76">
        <f t="shared" si="30"/>
        <v>0</v>
      </c>
      <c r="O350" s="109"/>
      <c r="P350" s="109"/>
      <c r="Q350" s="76">
        <f t="shared" si="29"/>
        <v>0</v>
      </c>
    </row>
    <row r="351" spans="3:17" ht="13.5">
      <c r="C351" s="142"/>
      <c r="D351" s="768" t="s">
        <v>727</v>
      </c>
      <c r="E351" s="109"/>
      <c r="F351" s="756" t="s">
        <v>686</v>
      </c>
      <c r="G351" s="771">
        <v>3</v>
      </c>
      <c r="H351" s="771">
        <v>2015</v>
      </c>
      <c r="I351" s="321">
        <v>225</v>
      </c>
      <c r="J351" s="109">
        <f t="shared" si="28"/>
        <v>80</v>
      </c>
      <c r="K351" s="109">
        <f t="shared" si="27"/>
        <v>45</v>
      </c>
      <c r="L351" s="296"/>
      <c r="M351" s="109"/>
      <c r="N351" s="76">
        <f t="shared" si="30"/>
        <v>0</v>
      </c>
      <c r="O351" s="109"/>
      <c r="P351" s="109"/>
      <c r="Q351" s="76">
        <f t="shared" si="29"/>
        <v>0</v>
      </c>
    </row>
    <row r="352" spans="3:17" ht="16.5">
      <c r="C352" s="142"/>
      <c r="D352" s="769" t="s">
        <v>728</v>
      </c>
      <c r="E352" s="109"/>
      <c r="F352" s="756" t="s">
        <v>686</v>
      </c>
      <c r="G352" s="772">
        <v>1</v>
      </c>
      <c r="H352" s="772">
        <v>2016</v>
      </c>
      <c r="I352" s="826">
        <v>680</v>
      </c>
      <c r="J352" s="109">
        <f t="shared" si="28"/>
        <v>70</v>
      </c>
      <c r="K352" s="109">
        <f t="shared" si="27"/>
        <v>204.00000000000006</v>
      </c>
      <c r="L352" s="296"/>
      <c r="M352" s="109"/>
      <c r="N352" s="76">
        <f t="shared" si="30"/>
        <v>0</v>
      </c>
      <c r="O352" s="109"/>
      <c r="P352" s="109"/>
      <c r="Q352" s="76">
        <f t="shared" si="29"/>
        <v>0</v>
      </c>
    </row>
    <row r="353" spans="3:17" ht="16.5">
      <c r="C353" s="142"/>
      <c r="D353" s="769" t="s">
        <v>729</v>
      </c>
      <c r="E353" s="109"/>
      <c r="F353" s="756" t="s">
        <v>686</v>
      </c>
      <c r="G353" s="772">
        <v>21</v>
      </c>
      <c r="H353" s="772">
        <v>2016</v>
      </c>
      <c r="I353" s="826">
        <v>12635.28</v>
      </c>
      <c r="J353" s="109">
        <f t="shared" si="28"/>
        <v>70</v>
      </c>
      <c r="K353" s="109">
        <f t="shared" si="27"/>
        <v>3790.5840000000007</v>
      </c>
      <c r="L353" s="296"/>
      <c r="M353" s="109"/>
      <c r="N353" s="76">
        <f t="shared" si="30"/>
        <v>0</v>
      </c>
      <c r="O353" s="109"/>
      <c r="P353" s="109"/>
      <c r="Q353" s="76">
        <f t="shared" si="29"/>
        <v>0</v>
      </c>
    </row>
    <row r="354" spans="3:17" ht="16.5">
      <c r="C354" s="142"/>
      <c r="D354" s="769" t="s">
        <v>730</v>
      </c>
      <c r="E354" s="109"/>
      <c r="F354" s="756" t="s">
        <v>686</v>
      </c>
      <c r="G354" s="772">
        <v>35</v>
      </c>
      <c r="H354" s="772">
        <v>2016</v>
      </c>
      <c r="I354" s="826">
        <v>10098.9</v>
      </c>
      <c r="J354" s="109">
        <f t="shared" si="28"/>
        <v>70</v>
      </c>
      <c r="K354" s="109">
        <f t="shared" si="27"/>
        <v>3029.67</v>
      </c>
      <c r="L354" s="296"/>
      <c r="M354" s="109"/>
      <c r="N354" s="76">
        <f t="shared" si="30"/>
        <v>0</v>
      </c>
      <c r="O354" s="109"/>
      <c r="P354" s="109"/>
      <c r="Q354" s="76">
        <f t="shared" si="29"/>
        <v>0</v>
      </c>
    </row>
    <row r="355" spans="3:17" ht="16.5">
      <c r="C355" s="142"/>
      <c r="D355" s="769" t="s">
        <v>731</v>
      </c>
      <c r="E355" s="109"/>
      <c r="F355" s="756" t="s">
        <v>686</v>
      </c>
      <c r="G355" s="772">
        <v>90</v>
      </c>
      <c r="H355" s="772">
        <v>2016</v>
      </c>
      <c r="I355" s="826">
        <v>24219</v>
      </c>
      <c r="J355" s="109">
        <f t="shared" si="28"/>
        <v>70</v>
      </c>
      <c r="K355" s="109">
        <f t="shared" si="27"/>
        <v>7265.700000000001</v>
      </c>
      <c r="L355" s="296"/>
      <c r="M355" s="109"/>
      <c r="N355" s="76">
        <f t="shared" si="30"/>
        <v>0</v>
      </c>
      <c r="O355" s="109"/>
      <c r="P355" s="109"/>
      <c r="Q355" s="76">
        <f t="shared" si="29"/>
        <v>0</v>
      </c>
    </row>
    <row r="356" spans="3:17" ht="16.5">
      <c r="C356" s="142"/>
      <c r="D356" s="769" t="s">
        <v>732</v>
      </c>
      <c r="E356" s="109"/>
      <c r="F356" s="756" t="s">
        <v>686</v>
      </c>
      <c r="G356" s="772">
        <v>60</v>
      </c>
      <c r="H356" s="772">
        <v>2016</v>
      </c>
      <c r="I356" s="826">
        <v>8632.8</v>
      </c>
      <c r="J356" s="109">
        <f t="shared" si="28"/>
        <v>70</v>
      </c>
      <c r="K356" s="109">
        <f t="shared" si="27"/>
        <v>2589.84</v>
      </c>
      <c r="L356" s="296"/>
      <c r="M356" s="109"/>
      <c r="N356" s="76">
        <f t="shared" si="30"/>
        <v>0</v>
      </c>
      <c r="O356" s="109"/>
      <c r="P356" s="109"/>
      <c r="Q356" s="76">
        <f t="shared" si="29"/>
        <v>0</v>
      </c>
    </row>
    <row r="357" spans="3:17" ht="16.5">
      <c r="C357" s="142"/>
      <c r="D357" s="769" t="s">
        <v>733</v>
      </c>
      <c r="E357" s="109"/>
      <c r="F357" s="756" t="s">
        <v>686</v>
      </c>
      <c r="G357" s="772">
        <v>5</v>
      </c>
      <c r="H357" s="772">
        <v>2016</v>
      </c>
      <c r="I357" s="826">
        <v>520.5</v>
      </c>
      <c r="J357" s="109">
        <f t="shared" si="28"/>
        <v>70</v>
      </c>
      <c r="K357" s="109">
        <f t="shared" si="27"/>
        <v>156.15000000000003</v>
      </c>
      <c r="L357" s="296"/>
      <c r="M357" s="109"/>
      <c r="N357" s="76">
        <f t="shared" si="30"/>
        <v>0</v>
      </c>
      <c r="O357" s="109"/>
      <c r="P357" s="109"/>
      <c r="Q357" s="76">
        <f t="shared" si="29"/>
        <v>0</v>
      </c>
    </row>
    <row r="358" spans="3:17" ht="16.5">
      <c r="C358" s="142"/>
      <c r="D358" s="769" t="s">
        <v>734</v>
      </c>
      <c r="E358" s="109"/>
      <c r="F358" s="756" t="s">
        <v>686</v>
      </c>
      <c r="G358" s="772">
        <v>5</v>
      </c>
      <c r="H358" s="772">
        <v>2016</v>
      </c>
      <c r="I358" s="826">
        <v>3597</v>
      </c>
      <c r="J358" s="109">
        <f t="shared" si="28"/>
        <v>70</v>
      </c>
      <c r="K358" s="109">
        <f t="shared" si="27"/>
        <v>1079.1000000000004</v>
      </c>
      <c r="L358" s="296"/>
      <c r="M358" s="109"/>
      <c r="N358" s="76">
        <f t="shared" si="30"/>
        <v>0</v>
      </c>
      <c r="O358" s="109"/>
      <c r="P358" s="109"/>
      <c r="Q358" s="76">
        <f t="shared" si="29"/>
        <v>0</v>
      </c>
    </row>
    <row r="359" spans="3:17" ht="16.5">
      <c r="C359" s="142"/>
      <c r="D359" s="769" t="s">
        <v>735</v>
      </c>
      <c r="E359" s="109"/>
      <c r="F359" s="756" t="s">
        <v>686</v>
      </c>
      <c r="G359" s="772">
        <v>1</v>
      </c>
      <c r="H359" s="772">
        <v>2016</v>
      </c>
      <c r="I359" s="826">
        <v>984.96</v>
      </c>
      <c r="J359" s="109">
        <f t="shared" si="28"/>
        <v>70</v>
      </c>
      <c r="K359" s="109">
        <f t="shared" si="27"/>
        <v>295.48800000000006</v>
      </c>
      <c r="L359" s="296"/>
      <c r="M359" s="109"/>
      <c r="N359" s="76">
        <f t="shared" si="30"/>
        <v>0</v>
      </c>
      <c r="O359" s="109"/>
      <c r="P359" s="109"/>
      <c r="Q359" s="76">
        <f t="shared" si="29"/>
        <v>0</v>
      </c>
    </row>
    <row r="360" spans="3:17" ht="16.5">
      <c r="C360" s="142"/>
      <c r="D360" s="769" t="s">
        <v>735</v>
      </c>
      <c r="E360" s="109"/>
      <c r="F360" s="756" t="s">
        <v>686</v>
      </c>
      <c r="G360" s="772">
        <v>4</v>
      </c>
      <c r="H360" s="772">
        <v>2016</v>
      </c>
      <c r="I360" s="826">
        <v>5702.4</v>
      </c>
      <c r="J360" s="109">
        <f t="shared" si="28"/>
        <v>70</v>
      </c>
      <c r="K360" s="109">
        <f t="shared" si="27"/>
        <v>1710.7200000000003</v>
      </c>
      <c r="L360" s="296"/>
      <c r="M360" s="109"/>
      <c r="N360" s="76">
        <f t="shared" si="30"/>
        <v>0</v>
      </c>
      <c r="O360" s="109"/>
      <c r="P360" s="109"/>
      <c r="Q360" s="76">
        <f t="shared" si="29"/>
        <v>0</v>
      </c>
    </row>
    <row r="361" spans="3:17" ht="16.5">
      <c r="C361" s="142"/>
      <c r="D361" s="769" t="s">
        <v>736</v>
      </c>
      <c r="E361" s="109"/>
      <c r="F361" s="756" t="s">
        <v>686</v>
      </c>
      <c r="G361" s="772">
        <v>1</v>
      </c>
      <c r="H361" s="772">
        <v>2016</v>
      </c>
      <c r="I361" s="826">
        <v>1089</v>
      </c>
      <c r="J361" s="109">
        <f t="shared" si="28"/>
        <v>70</v>
      </c>
      <c r="K361" s="109">
        <f t="shared" si="27"/>
        <v>326.70000000000005</v>
      </c>
      <c r="L361" s="296"/>
      <c r="M361" s="109"/>
      <c r="N361" s="76">
        <f t="shared" si="30"/>
        <v>0</v>
      </c>
      <c r="O361" s="109"/>
      <c r="P361" s="109"/>
      <c r="Q361" s="76">
        <f t="shared" si="29"/>
        <v>0</v>
      </c>
    </row>
    <row r="362" spans="3:17" ht="16.5">
      <c r="C362" s="142"/>
      <c r="D362" s="769" t="s">
        <v>737</v>
      </c>
      <c r="E362" s="109"/>
      <c r="F362" s="756" t="s">
        <v>686</v>
      </c>
      <c r="G362" s="772">
        <v>1</v>
      </c>
      <c r="H362" s="772">
        <v>2016</v>
      </c>
      <c r="I362" s="826">
        <v>277.2</v>
      </c>
      <c r="J362" s="109">
        <f t="shared" si="28"/>
        <v>70</v>
      </c>
      <c r="K362" s="109">
        <f t="shared" si="27"/>
        <v>83.16</v>
      </c>
      <c r="L362" s="296"/>
      <c r="M362" s="109"/>
      <c r="N362" s="76">
        <f t="shared" si="30"/>
        <v>0</v>
      </c>
      <c r="O362" s="109"/>
      <c r="P362" s="109"/>
      <c r="Q362" s="76">
        <f t="shared" si="29"/>
        <v>0</v>
      </c>
    </row>
    <row r="363" spans="3:17" ht="16.5">
      <c r="C363" s="142"/>
      <c r="D363" s="769" t="s">
        <v>738</v>
      </c>
      <c r="E363" s="109"/>
      <c r="F363" s="756" t="s">
        <v>686</v>
      </c>
      <c r="G363" s="772">
        <v>10</v>
      </c>
      <c r="H363" s="772">
        <v>2016</v>
      </c>
      <c r="I363" s="826">
        <v>1296</v>
      </c>
      <c r="J363" s="109">
        <f t="shared" si="28"/>
        <v>70</v>
      </c>
      <c r="K363" s="109">
        <f t="shared" si="27"/>
        <v>388.80000000000007</v>
      </c>
      <c r="L363" s="296"/>
      <c r="M363" s="109"/>
      <c r="N363" s="76">
        <f t="shared" si="30"/>
        <v>0</v>
      </c>
      <c r="O363" s="109"/>
      <c r="P363" s="109"/>
      <c r="Q363" s="76">
        <f t="shared" si="29"/>
        <v>0</v>
      </c>
    </row>
    <row r="364" spans="3:17" ht="16.5">
      <c r="C364" s="142"/>
      <c r="D364" s="769" t="s">
        <v>739</v>
      </c>
      <c r="E364" s="109"/>
      <c r="F364" s="756" t="s">
        <v>686</v>
      </c>
      <c r="G364" s="772">
        <v>1</v>
      </c>
      <c r="H364" s="772">
        <v>2016</v>
      </c>
      <c r="I364" s="826">
        <v>311.3</v>
      </c>
      <c r="J364" s="109">
        <f t="shared" si="28"/>
        <v>70</v>
      </c>
      <c r="K364" s="109">
        <f t="shared" si="27"/>
        <v>93.39000000000001</v>
      </c>
      <c r="L364" s="296"/>
      <c r="M364" s="109"/>
      <c r="N364" s="76">
        <f t="shared" si="30"/>
        <v>0</v>
      </c>
      <c r="O364" s="109"/>
      <c r="P364" s="109"/>
      <c r="Q364" s="76">
        <f t="shared" si="29"/>
        <v>0</v>
      </c>
    </row>
    <row r="365" spans="3:17" ht="16.5">
      <c r="C365" s="142"/>
      <c r="D365" s="769" t="s">
        <v>740</v>
      </c>
      <c r="E365" s="109"/>
      <c r="F365" s="756" t="s">
        <v>686</v>
      </c>
      <c r="G365" s="772">
        <v>7</v>
      </c>
      <c r="H365" s="772">
        <v>2016</v>
      </c>
      <c r="I365" s="826">
        <v>816.5</v>
      </c>
      <c r="J365" s="109">
        <f t="shared" si="28"/>
        <v>70</v>
      </c>
      <c r="K365" s="109">
        <f t="shared" si="27"/>
        <v>244.95000000000005</v>
      </c>
      <c r="L365" s="296"/>
      <c r="M365" s="109"/>
      <c r="N365" s="76">
        <f t="shared" si="30"/>
        <v>0</v>
      </c>
      <c r="O365" s="109"/>
      <c r="P365" s="109"/>
      <c r="Q365" s="76">
        <f t="shared" si="29"/>
        <v>0</v>
      </c>
    </row>
    <row r="366" spans="3:17" ht="16.5">
      <c r="C366" s="142"/>
      <c r="D366" s="769" t="s">
        <v>741</v>
      </c>
      <c r="E366" s="109"/>
      <c r="F366" s="756" t="s">
        <v>686</v>
      </c>
      <c r="G366" s="772">
        <v>6</v>
      </c>
      <c r="H366" s="772">
        <v>2016</v>
      </c>
      <c r="I366" s="826">
        <v>505.4</v>
      </c>
      <c r="J366" s="109">
        <f t="shared" si="28"/>
        <v>70</v>
      </c>
      <c r="K366" s="109">
        <f t="shared" si="27"/>
        <v>151.62</v>
      </c>
      <c r="L366" s="296"/>
      <c r="M366" s="109"/>
      <c r="N366" s="76">
        <f t="shared" si="30"/>
        <v>0</v>
      </c>
      <c r="O366" s="109"/>
      <c r="P366" s="109"/>
      <c r="Q366" s="76">
        <f t="shared" si="29"/>
        <v>0</v>
      </c>
    </row>
    <row r="367" spans="3:17" ht="16.5">
      <c r="C367" s="142"/>
      <c r="D367" s="769" t="s">
        <v>742</v>
      </c>
      <c r="E367" s="109"/>
      <c r="F367" s="756" t="s">
        <v>686</v>
      </c>
      <c r="G367" s="772">
        <v>5</v>
      </c>
      <c r="H367" s="772">
        <v>2016</v>
      </c>
      <c r="I367" s="826">
        <v>237.435</v>
      </c>
      <c r="J367" s="109">
        <f t="shared" si="28"/>
        <v>70</v>
      </c>
      <c r="K367" s="109">
        <f t="shared" si="27"/>
        <v>71.2305</v>
      </c>
      <c r="L367" s="296"/>
      <c r="M367" s="109"/>
      <c r="N367" s="76">
        <f t="shared" si="30"/>
        <v>0</v>
      </c>
      <c r="O367" s="109"/>
      <c r="P367" s="109"/>
      <c r="Q367" s="76">
        <f t="shared" si="29"/>
        <v>0</v>
      </c>
    </row>
    <row r="368" spans="3:17" ht="16.5">
      <c r="C368" s="142"/>
      <c r="D368" s="769" t="s">
        <v>743</v>
      </c>
      <c r="E368" s="109"/>
      <c r="F368" s="756" t="s">
        <v>686</v>
      </c>
      <c r="G368" s="772">
        <v>2</v>
      </c>
      <c r="H368" s="772">
        <v>2016</v>
      </c>
      <c r="I368" s="826">
        <v>314</v>
      </c>
      <c r="J368" s="109">
        <f t="shared" si="28"/>
        <v>70</v>
      </c>
      <c r="K368" s="109">
        <f t="shared" si="27"/>
        <v>94.20000000000002</v>
      </c>
      <c r="L368" s="296"/>
      <c r="M368" s="109"/>
      <c r="N368" s="76">
        <f t="shared" si="30"/>
        <v>0</v>
      </c>
      <c r="O368" s="109"/>
      <c r="P368" s="109"/>
      <c r="Q368" s="76">
        <f t="shared" si="29"/>
        <v>0</v>
      </c>
    </row>
    <row r="369" spans="3:17" ht="16.5">
      <c r="C369" s="142"/>
      <c r="D369" s="769" t="s">
        <v>744</v>
      </c>
      <c r="E369" s="109"/>
      <c r="F369" s="756" t="s">
        <v>686</v>
      </c>
      <c r="G369" s="773">
        <v>94</v>
      </c>
      <c r="H369" s="772">
        <v>2016</v>
      </c>
      <c r="I369" s="826">
        <v>15369</v>
      </c>
      <c r="J369" s="109">
        <f t="shared" si="28"/>
        <v>70</v>
      </c>
      <c r="K369" s="109">
        <f t="shared" si="27"/>
        <v>4610.700000000001</v>
      </c>
      <c r="L369" s="296"/>
      <c r="M369" s="109"/>
      <c r="N369" s="76">
        <f t="shared" si="30"/>
        <v>0</v>
      </c>
      <c r="O369" s="109"/>
      <c r="P369" s="109"/>
      <c r="Q369" s="76">
        <f t="shared" si="29"/>
        <v>0</v>
      </c>
    </row>
    <row r="370" spans="3:17" ht="16.5">
      <c r="C370" s="142"/>
      <c r="D370" s="769" t="s">
        <v>745</v>
      </c>
      <c r="E370" s="109"/>
      <c r="F370" s="756" t="s">
        <v>686</v>
      </c>
      <c r="G370" s="773">
        <v>2</v>
      </c>
      <c r="H370" s="772">
        <v>2016</v>
      </c>
      <c r="I370" s="826">
        <v>266.832</v>
      </c>
      <c r="J370" s="109">
        <f t="shared" si="28"/>
        <v>70</v>
      </c>
      <c r="K370" s="109">
        <f t="shared" si="27"/>
        <v>80.0496</v>
      </c>
      <c r="L370" s="296"/>
      <c r="M370" s="109"/>
      <c r="N370" s="76">
        <f t="shared" si="30"/>
        <v>0</v>
      </c>
      <c r="O370" s="109"/>
      <c r="P370" s="109"/>
      <c r="Q370" s="76">
        <f t="shared" si="29"/>
        <v>0</v>
      </c>
    </row>
    <row r="371" spans="3:17" ht="16.5">
      <c r="C371" s="142"/>
      <c r="D371" s="769" t="s">
        <v>746</v>
      </c>
      <c r="E371" s="109"/>
      <c r="F371" s="756" t="s">
        <v>686</v>
      </c>
      <c r="G371" s="773">
        <v>8</v>
      </c>
      <c r="H371" s="772">
        <v>2016</v>
      </c>
      <c r="I371" s="826">
        <v>1725.7</v>
      </c>
      <c r="J371" s="109">
        <f t="shared" si="28"/>
        <v>70</v>
      </c>
      <c r="K371" s="109">
        <f t="shared" si="27"/>
        <v>517.71</v>
      </c>
      <c r="L371" s="296"/>
      <c r="M371" s="109"/>
      <c r="N371" s="76">
        <f t="shared" si="30"/>
        <v>0</v>
      </c>
      <c r="O371" s="109"/>
      <c r="P371" s="109"/>
      <c r="Q371" s="76">
        <f t="shared" si="29"/>
        <v>0</v>
      </c>
    </row>
    <row r="372" spans="3:17" ht="16.5">
      <c r="C372" s="142"/>
      <c r="D372" s="769" t="s">
        <v>747</v>
      </c>
      <c r="E372" s="109"/>
      <c r="F372" s="756" t="s">
        <v>686</v>
      </c>
      <c r="G372" s="773">
        <v>10</v>
      </c>
      <c r="H372" s="772">
        <v>2016</v>
      </c>
      <c r="I372" s="826">
        <v>3828</v>
      </c>
      <c r="J372" s="109">
        <f t="shared" si="28"/>
        <v>70</v>
      </c>
      <c r="K372" s="109">
        <f t="shared" si="27"/>
        <v>1148.4</v>
      </c>
      <c r="L372" s="296"/>
      <c r="M372" s="109"/>
      <c r="N372" s="76">
        <f t="shared" si="30"/>
        <v>0</v>
      </c>
      <c r="O372" s="109"/>
      <c r="P372" s="109"/>
      <c r="Q372" s="76">
        <f t="shared" si="29"/>
        <v>0</v>
      </c>
    </row>
    <row r="373" spans="3:17" ht="16.5">
      <c r="C373" s="142"/>
      <c r="D373" s="769" t="s">
        <v>748</v>
      </c>
      <c r="E373" s="109"/>
      <c r="F373" s="756" t="s">
        <v>686</v>
      </c>
      <c r="G373" s="773">
        <v>4</v>
      </c>
      <c r="H373" s="772">
        <v>2016</v>
      </c>
      <c r="I373" s="826">
        <v>532.8</v>
      </c>
      <c r="J373" s="109">
        <f t="shared" si="28"/>
        <v>70</v>
      </c>
      <c r="K373" s="109">
        <f t="shared" si="27"/>
        <v>159.84000000000003</v>
      </c>
      <c r="L373" s="296"/>
      <c r="M373" s="109"/>
      <c r="N373" s="76">
        <f t="shared" si="30"/>
        <v>0</v>
      </c>
      <c r="O373" s="109"/>
      <c r="P373" s="109"/>
      <c r="Q373" s="76">
        <f t="shared" si="29"/>
        <v>0</v>
      </c>
    </row>
    <row r="374" spans="3:17" ht="16.5">
      <c r="C374" s="142"/>
      <c r="D374" s="769" t="s">
        <v>749</v>
      </c>
      <c r="E374" s="109"/>
      <c r="F374" s="756" t="s">
        <v>686</v>
      </c>
      <c r="G374" s="773">
        <v>1</v>
      </c>
      <c r="H374" s="772">
        <v>2016</v>
      </c>
      <c r="I374" s="826">
        <v>1529.9</v>
      </c>
      <c r="J374" s="109">
        <f t="shared" si="28"/>
        <v>70</v>
      </c>
      <c r="K374" s="109">
        <f t="shared" si="27"/>
        <v>458.97</v>
      </c>
      <c r="L374" s="296"/>
      <c r="M374" s="109"/>
      <c r="N374" s="76">
        <f t="shared" si="30"/>
        <v>0</v>
      </c>
      <c r="O374" s="109"/>
      <c r="P374" s="109"/>
      <c r="Q374" s="76">
        <f t="shared" si="29"/>
        <v>0</v>
      </c>
    </row>
    <row r="375" spans="3:17" ht="16.5">
      <c r="C375" s="142"/>
      <c r="D375" s="769" t="s">
        <v>750</v>
      </c>
      <c r="E375" s="109"/>
      <c r="F375" s="756" t="s">
        <v>686</v>
      </c>
      <c r="G375" s="773">
        <v>2</v>
      </c>
      <c r="H375" s="772">
        <v>2016</v>
      </c>
      <c r="I375" s="826">
        <v>1412.4</v>
      </c>
      <c r="J375" s="109">
        <f t="shared" si="28"/>
        <v>70</v>
      </c>
      <c r="K375" s="109">
        <f t="shared" si="27"/>
        <v>423.72000000000014</v>
      </c>
      <c r="L375" s="296"/>
      <c r="M375" s="109"/>
      <c r="N375" s="76">
        <f t="shared" si="30"/>
        <v>0</v>
      </c>
      <c r="O375" s="109"/>
      <c r="P375" s="109"/>
      <c r="Q375" s="76">
        <f t="shared" si="29"/>
        <v>0</v>
      </c>
    </row>
    <row r="376" spans="3:17" ht="16.5">
      <c r="C376" s="142"/>
      <c r="D376" s="769" t="s">
        <v>751</v>
      </c>
      <c r="E376" s="109"/>
      <c r="F376" s="756" t="s">
        <v>686</v>
      </c>
      <c r="G376" s="773">
        <v>1</v>
      </c>
      <c r="H376" s="772">
        <v>2016</v>
      </c>
      <c r="I376" s="826">
        <v>569.8</v>
      </c>
      <c r="J376" s="109">
        <f t="shared" si="28"/>
        <v>70</v>
      </c>
      <c r="K376" s="109">
        <f t="shared" si="27"/>
        <v>170.94</v>
      </c>
      <c r="L376" s="296"/>
      <c r="M376" s="109"/>
      <c r="N376" s="76">
        <f t="shared" si="30"/>
        <v>0</v>
      </c>
      <c r="O376" s="109"/>
      <c r="P376" s="109"/>
      <c r="Q376" s="76">
        <f t="shared" si="29"/>
        <v>0</v>
      </c>
    </row>
    <row r="377" spans="3:17" ht="16.5">
      <c r="C377" s="142"/>
      <c r="D377" s="769" t="s">
        <v>752</v>
      </c>
      <c r="E377" s="109"/>
      <c r="F377" s="756" t="s">
        <v>686</v>
      </c>
      <c r="G377" s="773">
        <v>2</v>
      </c>
      <c r="H377" s="772">
        <v>2016</v>
      </c>
      <c r="I377" s="826">
        <v>1621.92</v>
      </c>
      <c r="J377" s="109">
        <f aca="true" t="shared" si="31" ref="J377:J408">IF(($J$14-H377)*J$280&gt;100,100,($J$14-H377)*J$280)</f>
        <v>70</v>
      </c>
      <c r="K377" s="109">
        <f t="shared" si="27"/>
        <v>486.576</v>
      </c>
      <c r="L377" s="296"/>
      <c r="M377" s="109"/>
      <c r="N377" s="76">
        <f t="shared" si="30"/>
        <v>0</v>
      </c>
      <c r="O377" s="109"/>
      <c r="P377" s="109"/>
      <c r="Q377" s="76">
        <f t="shared" si="29"/>
        <v>0</v>
      </c>
    </row>
    <row r="378" spans="3:17" ht="16.5">
      <c r="C378" s="142"/>
      <c r="D378" s="769" t="s">
        <v>753</v>
      </c>
      <c r="E378" s="109"/>
      <c r="F378" s="756" t="s">
        <v>686</v>
      </c>
      <c r="G378" s="773">
        <v>93</v>
      </c>
      <c r="H378" s="772">
        <v>2016</v>
      </c>
      <c r="I378" s="826">
        <v>4744.116</v>
      </c>
      <c r="J378" s="109">
        <f t="shared" si="31"/>
        <v>70</v>
      </c>
      <c r="K378" s="109">
        <f t="shared" si="27"/>
        <v>1423.2348000000002</v>
      </c>
      <c r="L378" s="296"/>
      <c r="M378" s="109"/>
      <c r="N378" s="76">
        <f t="shared" si="30"/>
        <v>0</v>
      </c>
      <c r="O378" s="109"/>
      <c r="P378" s="109"/>
      <c r="Q378" s="76">
        <f t="shared" si="29"/>
        <v>0</v>
      </c>
    </row>
    <row r="379" spans="3:17" ht="16.5">
      <c r="C379" s="142"/>
      <c r="D379" s="769" t="s">
        <v>754</v>
      </c>
      <c r="E379" s="109"/>
      <c r="F379" s="756" t="s">
        <v>686</v>
      </c>
      <c r="G379" s="773">
        <v>80</v>
      </c>
      <c r="H379" s="772">
        <v>2016</v>
      </c>
      <c r="I379" s="826">
        <v>7075.2</v>
      </c>
      <c r="J379" s="109">
        <f t="shared" si="31"/>
        <v>70</v>
      </c>
      <c r="K379" s="109">
        <f t="shared" si="27"/>
        <v>2122.5600000000004</v>
      </c>
      <c r="L379" s="296"/>
      <c r="M379" s="109"/>
      <c r="N379" s="76">
        <f t="shared" si="30"/>
        <v>0</v>
      </c>
      <c r="O379" s="109"/>
      <c r="P379" s="109"/>
      <c r="Q379" s="76">
        <f t="shared" si="29"/>
        <v>0</v>
      </c>
    </row>
    <row r="380" spans="3:17" ht="16.5">
      <c r="C380" s="142"/>
      <c r="D380" s="769" t="s">
        <v>755</v>
      </c>
      <c r="E380" s="109"/>
      <c r="F380" s="756" t="s">
        <v>686</v>
      </c>
      <c r="G380" s="773">
        <v>62</v>
      </c>
      <c r="H380" s="772">
        <v>2016</v>
      </c>
      <c r="I380" s="826">
        <v>3028.08</v>
      </c>
      <c r="J380" s="109">
        <f t="shared" si="31"/>
        <v>70</v>
      </c>
      <c r="K380" s="109">
        <f t="shared" si="27"/>
        <v>908.424</v>
      </c>
      <c r="L380" s="296"/>
      <c r="M380" s="109"/>
      <c r="N380" s="76">
        <f t="shared" si="30"/>
        <v>0</v>
      </c>
      <c r="O380" s="109"/>
      <c r="P380" s="109"/>
      <c r="Q380" s="76">
        <f t="shared" si="29"/>
        <v>0</v>
      </c>
    </row>
    <row r="381" spans="3:17" ht="16.5">
      <c r="C381" s="142"/>
      <c r="D381" s="769" t="s">
        <v>756</v>
      </c>
      <c r="E381" s="109"/>
      <c r="F381" s="756" t="s">
        <v>686</v>
      </c>
      <c r="G381" s="773">
        <v>9</v>
      </c>
      <c r="H381" s="772">
        <v>2016</v>
      </c>
      <c r="I381" s="826">
        <v>1872.1</v>
      </c>
      <c r="J381" s="109">
        <f t="shared" si="31"/>
        <v>70</v>
      </c>
      <c r="K381" s="109">
        <f t="shared" si="27"/>
        <v>561.6300000000001</v>
      </c>
      <c r="L381" s="296"/>
      <c r="M381" s="109"/>
      <c r="N381" s="76">
        <f t="shared" si="30"/>
        <v>0</v>
      </c>
      <c r="O381" s="109"/>
      <c r="P381" s="109"/>
      <c r="Q381" s="76">
        <f t="shared" si="29"/>
        <v>0</v>
      </c>
    </row>
    <row r="382" spans="3:17" ht="27" customHeight="1">
      <c r="C382" s="142"/>
      <c r="D382" s="770" t="s">
        <v>757</v>
      </c>
      <c r="E382" s="109"/>
      <c r="F382" s="756" t="s">
        <v>686</v>
      </c>
      <c r="G382" s="773">
        <v>4</v>
      </c>
      <c r="H382" s="772">
        <v>2016</v>
      </c>
      <c r="I382" s="827">
        <v>1340</v>
      </c>
      <c r="J382" s="109">
        <f t="shared" si="31"/>
        <v>70</v>
      </c>
      <c r="K382" s="109">
        <f t="shared" si="27"/>
        <v>402.0000000000001</v>
      </c>
      <c r="L382" s="296"/>
      <c r="M382" s="109"/>
      <c r="N382" s="76">
        <f t="shared" si="30"/>
        <v>0</v>
      </c>
      <c r="O382" s="109"/>
      <c r="P382" s="109"/>
      <c r="Q382" s="76">
        <f t="shared" si="29"/>
        <v>0</v>
      </c>
    </row>
    <row r="383" spans="3:17" ht="26.25" customHeight="1">
      <c r="C383" s="142"/>
      <c r="D383" s="770" t="s">
        <v>758</v>
      </c>
      <c r="E383" s="109"/>
      <c r="F383" s="756" t="s">
        <v>686</v>
      </c>
      <c r="G383" s="773">
        <v>10</v>
      </c>
      <c r="H383" s="772">
        <v>2016</v>
      </c>
      <c r="I383" s="827">
        <v>1300</v>
      </c>
      <c r="J383" s="109">
        <f t="shared" si="31"/>
        <v>70</v>
      </c>
      <c r="K383" s="109">
        <f t="shared" si="27"/>
        <v>390.0000000000001</v>
      </c>
      <c r="L383" s="296"/>
      <c r="M383" s="109"/>
      <c r="N383" s="76">
        <f t="shared" si="30"/>
        <v>0</v>
      </c>
      <c r="O383" s="109"/>
      <c r="P383" s="109"/>
      <c r="Q383" s="76">
        <f t="shared" si="29"/>
        <v>0</v>
      </c>
    </row>
    <row r="384" spans="3:17" ht="16.5">
      <c r="C384" s="142"/>
      <c r="D384" s="769" t="s">
        <v>759</v>
      </c>
      <c r="E384" s="109"/>
      <c r="F384" s="756" t="s">
        <v>686</v>
      </c>
      <c r="G384" s="773">
        <v>20</v>
      </c>
      <c r="H384" s="772">
        <v>2016</v>
      </c>
      <c r="I384" s="826">
        <v>1020.24</v>
      </c>
      <c r="J384" s="109">
        <f t="shared" si="31"/>
        <v>70</v>
      </c>
      <c r="K384" s="109">
        <f t="shared" si="27"/>
        <v>306.072</v>
      </c>
      <c r="L384" s="296"/>
      <c r="M384" s="109"/>
      <c r="N384" s="76">
        <f t="shared" si="30"/>
        <v>0</v>
      </c>
      <c r="O384" s="109"/>
      <c r="P384" s="109"/>
      <c r="Q384" s="76">
        <f t="shared" si="29"/>
        <v>0</v>
      </c>
    </row>
    <row r="385" spans="3:17" ht="16.5">
      <c r="C385" s="142"/>
      <c r="D385" s="769" t="s">
        <v>760</v>
      </c>
      <c r="E385" s="109"/>
      <c r="F385" s="756" t="s">
        <v>686</v>
      </c>
      <c r="G385" s="774">
        <v>10</v>
      </c>
      <c r="H385" s="772">
        <v>2016</v>
      </c>
      <c r="I385" s="826">
        <v>379.32</v>
      </c>
      <c r="J385" s="109">
        <f t="shared" si="31"/>
        <v>70</v>
      </c>
      <c r="K385" s="109">
        <f t="shared" si="27"/>
        <v>113.79599999999999</v>
      </c>
      <c r="L385" s="296"/>
      <c r="M385" s="109"/>
      <c r="N385" s="76">
        <f t="shared" si="30"/>
        <v>0</v>
      </c>
      <c r="O385" s="109"/>
      <c r="P385" s="109"/>
      <c r="Q385" s="76">
        <f t="shared" si="29"/>
        <v>0</v>
      </c>
    </row>
    <row r="386" spans="3:17" ht="16.5">
      <c r="C386" s="142"/>
      <c r="D386" s="775" t="s">
        <v>761</v>
      </c>
      <c r="E386" s="109"/>
      <c r="F386" s="756" t="s">
        <v>686</v>
      </c>
      <c r="G386" s="774">
        <v>8</v>
      </c>
      <c r="H386" s="772"/>
      <c r="I386" s="826">
        <v>200</v>
      </c>
      <c r="J386" s="109">
        <f t="shared" si="31"/>
        <v>100</v>
      </c>
      <c r="K386" s="109">
        <f t="shared" si="27"/>
        <v>0</v>
      </c>
      <c r="L386" s="296"/>
      <c r="M386" s="109"/>
      <c r="N386" s="76">
        <f t="shared" si="30"/>
        <v>0</v>
      </c>
      <c r="O386" s="109"/>
      <c r="P386" s="109"/>
      <c r="Q386" s="76">
        <f t="shared" si="29"/>
        <v>0</v>
      </c>
    </row>
    <row r="387" spans="3:17" ht="16.5">
      <c r="C387" s="142"/>
      <c r="D387" s="775" t="s">
        <v>690</v>
      </c>
      <c r="E387" s="109"/>
      <c r="F387" s="756" t="s">
        <v>686</v>
      </c>
      <c r="G387" s="774">
        <v>1</v>
      </c>
      <c r="H387" s="772"/>
      <c r="I387" s="826">
        <v>405</v>
      </c>
      <c r="J387" s="109">
        <f t="shared" si="31"/>
        <v>100</v>
      </c>
      <c r="K387" s="109">
        <f t="shared" si="27"/>
        <v>0</v>
      </c>
      <c r="L387" s="296"/>
      <c r="M387" s="109"/>
      <c r="N387" s="76">
        <f t="shared" si="30"/>
        <v>0</v>
      </c>
      <c r="O387" s="109"/>
      <c r="P387" s="109"/>
      <c r="Q387" s="76">
        <f t="shared" si="29"/>
        <v>0</v>
      </c>
    </row>
    <row r="388" spans="3:17" ht="16.5">
      <c r="C388" s="142"/>
      <c r="D388" s="775" t="s">
        <v>762</v>
      </c>
      <c r="E388" s="109"/>
      <c r="F388" s="756" t="s">
        <v>686</v>
      </c>
      <c r="G388" s="774">
        <v>10</v>
      </c>
      <c r="H388" s="772">
        <v>2017</v>
      </c>
      <c r="I388" s="826">
        <v>225.7</v>
      </c>
      <c r="J388" s="109">
        <f t="shared" si="31"/>
        <v>60</v>
      </c>
      <c r="K388" s="109">
        <f t="shared" si="27"/>
        <v>90.28</v>
      </c>
      <c r="L388" s="296"/>
      <c r="M388" s="109"/>
      <c r="N388" s="76">
        <f t="shared" si="30"/>
        <v>0</v>
      </c>
      <c r="O388" s="109"/>
      <c r="P388" s="109"/>
      <c r="Q388" s="76">
        <f t="shared" si="29"/>
        <v>0</v>
      </c>
    </row>
    <row r="389" spans="3:17" ht="16.5">
      <c r="C389" s="142"/>
      <c r="D389" s="775" t="s">
        <v>763</v>
      </c>
      <c r="E389" s="109"/>
      <c r="F389" s="756" t="s">
        <v>686</v>
      </c>
      <c r="G389" s="774">
        <v>20</v>
      </c>
      <c r="H389" s="772">
        <v>2017</v>
      </c>
      <c r="I389" s="826">
        <v>319.2</v>
      </c>
      <c r="J389" s="109">
        <f t="shared" si="31"/>
        <v>60</v>
      </c>
      <c r="K389" s="109">
        <f t="shared" si="27"/>
        <v>127.68</v>
      </c>
      <c r="L389" s="296"/>
      <c r="M389" s="109"/>
      <c r="N389" s="76">
        <f t="shared" si="30"/>
        <v>0</v>
      </c>
      <c r="O389" s="109"/>
      <c r="P389" s="109"/>
      <c r="Q389" s="76">
        <f t="shared" si="29"/>
        <v>0</v>
      </c>
    </row>
    <row r="390" spans="3:17" ht="16.5">
      <c r="C390" s="142"/>
      <c r="D390" s="775" t="s">
        <v>695</v>
      </c>
      <c r="E390" s="109"/>
      <c r="F390" s="756" t="s">
        <v>686</v>
      </c>
      <c r="G390" s="774">
        <v>2</v>
      </c>
      <c r="H390" s="772">
        <v>2018</v>
      </c>
      <c r="I390" s="826">
        <v>118.8</v>
      </c>
      <c r="J390" s="109">
        <f t="shared" si="31"/>
        <v>50</v>
      </c>
      <c r="K390" s="109">
        <f t="shared" si="27"/>
        <v>59.4</v>
      </c>
      <c r="L390" s="296"/>
      <c r="M390" s="109"/>
      <c r="N390" s="76">
        <f t="shared" si="30"/>
        <v>0</v>
      </c>
      <c r="O390" s="109"/>
      <c r="P390" s="109"/>
      <c r="Q390" s="76">
        <f t="shared" si="29"/>
        <v>0</v>
      </c>
    </row>
    <row r="391" spans="3:17" ht="16.5">
      <c r="C391" s="142"/>
      <c r="D391" s="775" t="s">
        <v>764</v>
      </c>
      <c r="E391" s="109"/>
      <c r="F391" s="756" t="s">
        <v>686</v>
      </c>
      <c r="G391" s="774">
        <v>6</v>
      </c>
      <c r="H391" s="772">
        <v>2018</v>
      </c>
      <c r="I391" s="826">
        <v>213.84</v>
      </c>
      <c r="J391" s="109">
        <f t="shared" si="31"/>
        <v>50</v>
      </c>
      <c r="K391" s="109">
        <f t="shared" si="27"/>
        <v>106.92</v>
      </c>
      <c r="L391" s="296"/>
      <c r="M391" s="109"/>
      <c r="N391" s="76">
        <f t="shared" si="30"/>
        <v>0</v>
      </c>
      <c r="O391" s="109"/>
      <c r="P391" s="109"/>
      <c r="Q391" s="76">
        <f t="shared" si="29"/>
        <v>0</v>
      </c>
    </row>
    <row r="392" spans="3:17" ht="16.5">
      <c r="C392" s="142"/>
      <c r="D392" s="775" t="s">
        <v>765</v>
      </c>
      <c r="E392" s="109"/>
      <c r="F392" s="756" t="s">
        <v>686</v>
      </c>
      <c r="G392" s="774">
        <v>6</v>
      </c>
      <c r="H392" s="772">
        <v>2018</v>
      </c>
      <c r="I392" s="826">
        <v>356.4</v>
      </c>
      <c r="J392" s="109">
        <f t="shared" si="31"/>
        <v>50</v>
      </c>
      <c r="K392" s="109">
        <f t="shared" si="27"/>
        <v>178.2</v>
      </c>
      <c r="L392" s="296"/>
      <c r="M392" s="109"/>
      <c r="N392" s="76">
        <f t="shared" si="30"/>
        <v>0</v>
      </c>
      <c r="O392" s="109"/>
      <c r="P392" s="109"/>
      <c r="Q392" s="76">
        <f t="shared" si="29"/>
        <v>0</v>
      </c>
    </row>
    <row r="393" spans="3:17" ht="16.5">
      <c r="C393" s="142"/>
      <c r="D393" s="776" t="s">
        <v>766</v>
      </c>
      <c r="E393" s="109"/>
      <c r="F393" s="756" t="s">
        <v>686</v>
      </c>
      <c r="G393" s="777">
        <v>2</v>
      </c>
      <c r="H393" s="772">
        <v>2019</v>
      </c>
      <c r="I393" s="828">
        <v>129.98</v>
      </c>
      <c r="J393" s="109">
        <f t="shared" si="31"/>
        <v>40</v>
      </c>
      <c r="K393" s="109">
        <f t="shared" si="27"/>
        <v>77.988</v>
      </c>
      <c r="L393" s="296"/>
      <c r="M393" s="109"/>
      <c r="N393" s="76">
        <f t="shared" si="30"/>
        <v>0</v>
      </c>
      <c r="O393" s="109"/>
      <c r="P393" s="109"/>
      <c r="Q393" s="76">
        <f t="shared" si="29"/>
        <v>0</v>
      </c>
    </row>
    <row r="394" spans="3:17" ht="16.5">
      <c r="C394" s="142"/>
      <c r="D394" s="776" t="s">
        <v>767</v>
      </c>
      <c r="E394" s="109"/>
      <c r="F394" s="756" t="s">
        <v>686</v>
      </c>
      <c r="G394" s="777">
        <v>10</v>
      </c>
      <c r="H394" s="772">
        <v>2019</v>
      </c>
      <c r="I394" s="828">
        <v>360</v>
      </c>
      <c r="J394" s="109">
        <f t="shared" si="31"/>
        <v>40</v>
      </c>
      <c r="K394" s="109">
        <f t="shared" si="27"/>
        <v>216</v>
      </c>
      <c r="L394" s="296"/>
      <c r="M394" s="109"/>
      <c r="N394" s="76">
        <f t="shared" si="30"/>
        <v>0</v>
      </c>
      <c r="O394" s="109"/>
      <c r="P394" s="109"/>
      <c r="Q394" s="76">
        <f t="shared" si="29"/>
        <v>0</v>
      </c>
    </row>
    <row r="395" spans="3:17" ht="16.5">
      <c r="C395" s="142"/>
      <c r="D395" s="776" t="s">
        <v>679</v>
      </c>
      <c r="E395" s="109"/>
      <c r="F395" s="756" t="s">
        <v>686</v>
      </c>
      <c r="G395" s="777">
        <v>50</v>
      </c>
      <c r="H395" s="772">
        <v>2019</v>
      </c>
      <c r="I395" s="828">
        <v>1299</v>
      </c>
      <c r="J395" s="109">
        <f t="shared" si="31"/>
        <v>40</v>
      </c>
      <c r="K395" s="109">
        <f t="shared" si="27"/>
        <v>779.4</v>
      </c>
      <c r="L395" s="296"/>
      <c r="M395" s="109"/>
      <c r="N395" s="76">
        <f t="shared" si="30"/>
        <v>0</v>
      </c>
      <c r="O395" s="109"/>
      <c r="P395" s="109"/>
      <c r="Q395" s="76">
        <f t="shared" si="29"/>
        <v>0</v>
      </c>
    </row>
    <row r="396" spans="3:17" ht="16.5">
      <c r="C396" s="142"/>
      <c r="D396" s="776" t="s">
        <v>768</v>
      </c>
      <c r="E396" s="109"/>
      <c r="F396" s="756" t="s">
        <v>686</v>
      </c>
      <c r="G396" s="777">
        <v>10</v>
      </c>
      <c r="H396" s="772">
        <v>2019</v>
      </c>
      <c r="I396" s="828">
        <v>650</v>
      </c>
      <c r="J396" s="109">
        <f t="shared" si="31"/>
        <v>40</v>
      </c>
      <c r="K396" s="109">
        <f t="shared" si="27"/>
        <v>390</v>
      </c>
      <c r="L396" s="296"/>
      <c r="M396" s="109"/>
      <c r="N396" s="76">
        <f t="shared" si="30"/>
        <v>0</v>
      </c>
      <c r="O396" s="109"/>
      <c r="P396" s="109"/>
      <c r="Q396" s="76">
        <f t="shared" si="29"/>
        <v>0</v>
      </c>
    </row>
    <row r="397" spans="3:17" ht="16.5">
      <c r="C397" s="142"/>
      <c r="D397" s="776" t="s">
        <v>769</v>
      </c>
      <c r="E397" s="109"/>
      <c r="F397" s="756" t="s">
        <v>686</v>
      </c>
      <c r="G397" s="777">
        <v>1</v>
      </c>
      <c r="H397" s="772">
        <v>2019</v>
      </c>
      <c r="I397" s="828">
        <v>180</v>
      </c>
      <c r="J397" s="109">
        <f t="shared" si="31"/>
        <v>40</v>
      </c>
      <c r="K397" s="109">
        <f t="shared" si="27"/>
        <v>108</v>
      </c>
      <c r="L397" s="296"/>
      <c r="M397" s="109"/>
      <c r="N397" s="76">
        <f t="shared" si="30"/>
        <v>0</v>
      </c>
      <c r="O397" s="109"/>
      <c r="P397" s="109"/>
      <c r="Q397" s="76">
        <f t="shared" si="29"/>
        <v>0</v>
      </c>
    </row>
    <row r="398" spans="3:17" ht="16.5">
      <c r="C398" s="142"/>
      <c r="D398" s="776" t="s">
        <v>697</v>
      </c>
      <c r="E398" s="109"/>
      <c r="F398" s="756" t="s">
        <v>686</v>
      </c>
      <c r="G398" s="777">
        <v>2</v>
      </c>
      <c r="H398" s="772">
        <v>2019</v>
      </c>
      <c r="I398" s="828">
        <v>199.98</v>
      </c>
      <c r="J398" s="109">
        <f t="shared" si="31"/>
        <v>40</v>
      </c>
      <c r="K398" s="109">
        <f t="shared" si="27"/>
        <v>119.98799999999999</v>
      </c>
      <c r="L398" s="296"/>
      <c r="M398" s="109"/>
      <c r="N398" s="76">
        <f t="shared" si="30"/>
        <v>0</v>
      </c>
      <c r="O398" s="109"/>
      <c r="P398" s="109"/>
      <c r="Q398" s="76">
        <f t="shared" si="29"/>
        <v>0</v>
      </c>
    </row>
    <row r="399" spans="3:17" ht="16.5">
      <c r="C399" s="142"/>
      <c r="D399" s="776" t="s">
        <v>770</v>
      </c>
      <c r="E399" s="109"/>
      <c r="F399" s="756" t="s">
        <v>686</v>
      </c>
      <c r="G399" s="794"/>
      <c r="H399" s="772"/>
      <c r="I399" s="824">
        <v>5748.1</v>
      </c>
      <c r="J399" s="109">
        <f t="shared" si="31"/>
        <v>100</v>
      </c>
      <c r="K399" s="109">
        <f t="shared" si="27"/>
        <v>0</v>
      </c>
      <c r="L399" s="296"/>
      <c r="M399" s="109"/>
      <c r="N399" s="76">
        <f t="shared" si="30"/>
        <v>0</v>
      </c>
      <c r="O399" s="109"/>
      <c r="P399" s="109"/>
      <c r="Q399" s="76">
        <f t="shared" si="29"/>
        <v>0</v>
      </c>
    </row>
    <row r="400" spans="3:17" ht="16.5">
      <c r="C400" s="142"/>
      <c r="D400" s="776" t="s">
        <v>690</v>
      </c>
      <c r="E400" s="109"/>
      <c r="F400" s="756" t="s">
        <v>686</v>
      </c>
      <c r="G400" s="777">
        <v>1</v>
      </c>
      <c r="H400" s="772">
        <v>2020</v>
      </c>
      <c r="I400" s="824">
        <v>189</v>
      </c>
      <c r="J400" s="109">
        <f t="shared" si="31"/>
        <v>30</v>
      </c>
      <c r="K400" s="109">
        <f t="shared" si="27"/>
        <v>132.3</v>
      </c>
      <c r="L400" s="296"/>
      <c r="M400" s="109"/>
      <c r="N400" s="76">
        <f t="shared" si="30"/>
        <v>0</v>
      </c>
      <c r="O400" s="109"/>
      <c r="P400" s="109"/>
      <c r="Q400" s="76">
        <f t="shared" si="29"/>
        <v>0</v>
      </c>
    </row>
    <row r="401" spans="3:17" ht="16.5">
      <c r="C401" s="142"/>
      <c r="D401" s="776" t="s">
        <v>679</v>
      </c>
      <c r="E401" s="109"/>
      <c r="F401" s="756" t="s">
        <v>686</v>
      </c>
      <c r="G401" s="777">
        <v>28</v>
      </c>
      <c r="H401" s="772">
        <v>2020</v>
      </c>
      <c r="I401" s="824">
        <v>1232</v>
      </c>
      <c r="J401" s="109">
        <f t="shared" si="31"/>
        <v>30</v>
      </c>
      <c r="K401" s="109">
        <f t="shared" si="27"/>
        <v>862.4000000000001</v>
      </c>
      <c r="L401" s="296"/>
      <c r="M401" s="109"/>
      <c r="N401" s="76">
        <f t="shared" si="30"/>
        <v>0</v>
      </c>
      <c r="O401" s="109"/>
      <c r="P401" s="109"/>
      <c r="Q401" s="76">
        <f t="shared" si="29"/>
        <v>0</v>
      </c>
    </row>
    <row r="402" spans="3:17" ht="16.5">
      <c r="C402" s="142"/>
      <c r="D402" s="776" t="s">
        <v>702</v>
      </c>
      <c r="E402" s="109"/>
      <c r="F402" s="756" t="s">
        <v>686</v>
      </c>
      <c r="G402" s="777">
        <v>5</v>
      </c>
      <c r="H402" s="772">
        <v>2020</v>
      </c>
      <c r="I402" s="824">
        <v>270</v>
      </c>
      <c r="J402" s="109">
        <f t="shared" si="31"/>
        <v>30</v>
      </c>
      <c r="K402" s="109">
        <f t="shared" si="27"/>
        <v>189</v>
      </c>
      <c r="L402" s="296"/>
      <c r="M402" s="109"/>
      <c r="N402" s="76">
        <f t="shared" si="30"/>
        <v>0</v>
      </c>
      <c r="O402" s="109"/>
      <c r="P402" s="109"/>
      <c r="Q402" s="76">
        <f t="shared" si="29"/>
        <v>0</v>
      </c>
    </row>
    <row r="403" spans="3:17" ht="16.5">
      <c r="C403" s="142"/>
      <c r="D403" s="776" t="s">
        <v>771</v>
      </c>
      <c r="E403" s="109"/>
      <c r="F403" s="756" t="s">
        <v>686</v>
      </c>
      <c r="G403" s="777">
        <v>5</v>
      </c>
      <c r="H403" s="772">
        <v>2020</v>
      </c>
      <c r="I403" s="824">
        <v>195</v>
      </c>
      <c r="J403" s="109">
        <f t="shared" si="31"/>
        <v>30</v>
      </c>
      <c r="K403" s="109">
        <f t="shared" si="27"/>
        <v>136.5</v>
      </c>
      <c r="L403" s="296"/>
      <c r="M403" s="109"/>
      <c r="N403" s="76">
        <f t="shared" si="30"/>
        <v>0</v>
      </c>
      <c r="O403" s="109"/>
      <c r="P403" s="109"/>
      <c r="Q403" s="76">
        <f t="shared" si="29"/>
        <v>0</v>
      </c>
    </row>
    <row r="404" spans="3:17" ht="16.5">
      <c r="C404" s="142"/>
      <c r="D404" s="776" t="s">
        <v>769</v>
      </c>
      <c r="E404" s="109"/>
      <c r="F404" s="756" t="s">
        <v>686</v>
      </c>
      <c r="G404" s="777">
        <v>1</v>
      </c>
      <c r="H404" s="772">
        <v>2020</v>
      </c>
      <c r="I404" s="824">
        <v>1393.2</v>
      </c>
      <c r="J404" s="109">
        <f t="shared" si="31"/>
        <v>30</v>
      </c>
      <c r="K404" s="109">
        <f t="shared" si="27"/>
        <v>975.24</v>
      </c>
      <c r="L404" s="296"/>
      <c r="M404" s="109"/>
      <c r="N404" s="76">
        <f t="shared" si="30"/>
        <v>0</v>
      </c>
      <c r="O404" s="109"/>
      <c r="P404" s="109"/>
      <c r="Q404" s="76">
        <f t="shared" si="29"/>
        <v>0</v>
      </c>
    </row>
    <row r="405" spans="3:17" ht="16.5">
      <c r="C405" s="142"/>
      <c r="D405" s="776" t="s">
        <v>772</v>
      </c>
      <c r="E405" s="109"/>
      <c r="F405" s="756" t="s">
        <v>686</v>
      </c>
      <c r="G405" s="777">
        <v>10</v>
      </c>
      <c r="H405" s="772">
        <v>2020</v>
      </c>
      <c r="I405" s="824">
        <v>151.8</v>
      </c>
      <c r="J405" s="109">
        <f t="shared" si="31"/>
        <v>30</v>
      </c>
      <c r="K405" s="109">
        <f t="shared" si="27"/>
        <v>106.26000000000002</v>
      </c>
      <c r="L405" s="296"/>
      <c r="M405" s="109"/>
      <c r="N405" s="76">
        <f t="shared" si="30"/>
        <v>0</v>
      </c>
      <c r="O405" s="109"/>
      <c r="P405" s="109"/>
      <c r="Q405" s="76">
        <f t="shared" si="29"/>
        <v>0</v>
      </c>
    </row>
    <row r="406" spans="3:17" ht="16.5">
      <c r="C406" s="142"/>
      <c r="D406" s="776" t="s">
        <v>773</v>
      </c>
      <c r="E406" s="109"/>
      <c r="F406" s="756" t="s">
        <v>686</v>
      </c>
      <c r="G406" s="777">
        <v>4</v>
      </c>
      <c r="H406" s="772">
        <v>2020</v>
      </c>
      <c r="I406" s="824">
        <v>78.5</v>
      </c>
      <c r="J406" s="109">
        <f t="shared" si="31"/>
        <v>30</v>
      </c>
      <c r="K406" s="109">
        <f t="shared" si="27"/>
        <v>54.95</v>
      </c>
      <c r="L406" s="296"/>
      <c r="M406" s="109"/>
      <c r="N406" s="76">
        <f t="shared" si="30"/>
        <v>0</v>
      </c>
      <c r="O406" s="109"/>
      <c r="P406" s="109"/>
      <c r="Q406" s="76">
        <f t="shared" si="29"/>
        <v>0</v>
      </c>
    </row>
    <row r="407" spans="3:17" ht="16.5">
      <c r="C407" s="142"/>
      <c r="D407" s="776" t="s">
        <v>773</v>
      </c>
      <c r="E407" s="109"/>
      <c r="F407" s="756" t="s">
        <v>686</v>
      </c>
      <c r="G407" s="777">
        <v>4</v>
      </c>
      <c r="H407" s="772">
        <v>2020</v>
      </c>
      <c r="I407" s="824">
        <v>78.5</v>
      </c>
      <c r="J407" s="109">
        <f t="shared" si="31"/>
        <v>30</v>
      </c>
      <c r="K407" s="109">
        <f t="shared" si="27"/>
        <v>54.95</v>
      </c>
      <c r="L407" s="296"/>
      <c r="M407" s="109"/>
      <c r="N407" s="76">
        <f t="shared" si="30"/>
        <v>0</v>
      </c>
      <c r="O407" s="109"/>
      <c r="P407" s="109"/>
      <c r="Q407" s="76">
        <f t="shared" si="29"/>
        <v>0</v>
      </c>
    </row>
    <row r="408" spans="3:17" ht="16.5">
      <c r="C408" s="142"/>
      <c r="D408" s="778" t="s">
        <v>804</v>
      </c>
      <c r="E408" s="109"/>
      <c r="F408" s="756"/>
      <c r="G408" s="777"/>
      <c r="H408" s="772"/>
      <c r="I408" s="824">
        <v>18918.172</v>
      </c>
      <c r="J408" s="109">
        <f t="shared" si="31"/>
        <v>100</v>
      </c>
      <c r="K408" s="109">
        <f t="shared" si="27"/>
        <v>0</v>
      </c>
      <c r="L408" s="296"/>
      <c r="M408" s="109"/>
      <c r="N408" s="76">
        <f t="shared" si="30"/>
        <v>0</v>
      </c>
      <c r="O408" s="109"/>
      <c r="P408" s="109"/>
      <c r="Q408" s="76">
        <f t="shared" si="29"/>
        <v>0</v>
      </c>
    </row>
    <row r="409" spans="3:17" ht="16.5">
      <c r="C409" s="142"/>
      <c r="D409" s="778" t="s">
        <v>804</v>
      </c>
      <c r="E409" s="109"/>
      <c r="F409" s="756"/>
      <c r="G409" s="777"/>
      <c r="H409" s="772"/>
      <c r="I409" s="824">
        <v>59878.386</v>
      </c>
      <c r="J409" s="109"/>
      <c r="K409" s="109">
        <v>9288.827</v>
      </c>
      <c r="L409" s="296"/>
      <c r="M409" s="109"/>
      <c r="N409" s="76">
        <f t="shared" si="30"/>
        <v>0</v>
      </c>
      <c r="O409" s="109"/>
      <c r="P409" s="109"/>
      <c r="Q409" s="76">
        <f t="shared" si="29"/>
        <v>0</v>
      </c>
    </row>
    <row r="410" spans="3:17" ht="16.5">
      <c r="C410" s="212"/>
      <c r="D410" s="875"/>
      <c r="E410" s="109"/>
      <c r="F410" s="756"/>
      <c r="G410" s="777"/>
      <c r="H410" s="772"/>
      <c r="I410" s="824"/>
      <c r="J410" s="109"/>
      <c r="K410" s="109"/>
      <c r="L410" s="296"/>
      <c r="M410" s="109"/>
      <c r="N410" s="76"/>
      <c r="O410" s="109"/>
      <c r="P410" s="109"/>
      <c r="Q410" s="76">
        <f aca="true" t="shared" si="32" ref="Q410:Q419">+O410*P410</f>
        <v>0</v>
      </c>
    </row>
    <row r="411" spans="3:17" ht="16.5">
      <c r="C411" s="142"/>
      <c r="D411" s="609" t="s">
        <v>764</v>
      </c>
      <c r="E411" s="109"/>
      <c r="F411" s="756"/>
      <c r="G411" s="777"/>
      <c r="H411" s="772"/>
      <c r="I411" s="824"/>
      <c r="J411" s="109"/>
      <c r="K411" s="109"/>
      <c r="L411" s="296"/>
      <c r="M411" s="109"/>
      <c r="N411" s="76"/>
      <c r="O411" s="109">
        <v>30</v>
      </c>
      <c r="P411" s="109">
        <v>54</v>
      </c>
      <c r="Q411" s="76">
        <f t="shared" si="32"/>
        <v>1620</v>
      </c>
    </row>
    <row r="412" spans="3:17" ht="16.5">
      <c r="C412" s="142"/>
      <c r="D412" s="609" t="s">
        <v>1140</v>
      </c>
      <c r="E412" s="109"/>
      <c r="F412" s="756"/>
      <c r="G412" s="777"/>
      <c r="H412" s="772"/>
      <c r="I412" s="824"/>
      <c r="J412" s="109"/>
      <c r="K412" s="109"/>
      <c r="L412" s="296"/>
      <c r="M412" s="109"/>
      <c r="N412" s="76"/>
      <c r="O412" s="109">
        <v>10</v>
      </c>
      <c r="P412" s="109">
        <v>170</v>
      </c>
      <c r="Q412" s="76">
        <f t="shared" si="32"/>
        <v>1700</v>
      </c>
    </row>
    <row r="413" spans="3:17" ht="16.5">
      <c r="C413" s="142"/>
      <c r="D413" s="609" t="s">
        <v>765</v>
      </c>
      <c r="E413" s="109"/>
      <c r="F413" s="756"/>
      <c r="G413" s="777"/>
      <c r="H413" s="772"/>
      <c r="I413" s="824"/>
      <c r="J413" s="109"/>
      <c r="K413" s="109"/>
      <c r="L413" s="296"/>
      <c r="M413" s="109"/>
      <c r="N413" s="76"/>
      <c r="O413" s="109">
        <v>10</v>
      </c>
      <c r="P413" s="109">
        <v>80</v>
      </c>
      <c r="Q413" s="76">
        <f t="shared" si="32"/>
        <v>800</v>
      </c>
    </row>
    <row r="414" spans="3:17" ht="16.5">
      <c r="C414" s="142"/>
      <c r="D414" s="609" t="s">
        <v>1141</v>
      </c>
      <c r="E414" s="109"/>
      <c r="F414" s="756"/>
      <c r="G414" s="777"/>
      <c r="H414" s="772"/>
      <c r="I414" s="824"/>
      <c r="J414" s="109"/>
      <c r="K414" s="109"/>
      <c r="L414" s="296"/>
      <c r="M414" s="109"/>
      <c r="N414" s="76"/>
      <c r="O414" s="109">
        <v>10</v>
      </c>
      <c r="P414" s="109">
        <v>40</v>
      </c>
      <c r="Q414" s="76">
        <f t="shared" si="32"/>
        <v>400</v>
      </c>
    </row>
    <row r="415" spans="3:17" ht="16.5">
      <c r="C415" s="142"/>
      <c r="D415" s="609" t="s">
        <v>1142</v>
      </c>
      <c r="E415" s="109"/>
      <c r="F415" s="756"/>
      <c r="G415" s="777"/>
      <c r="H415" s="772"/>
      <c r="I415" s="824"/>
      <c r="J415" s="109"/>
      <c r="K415" s="109"/>
      <c r="L415" s="296"/>
      <c r="M415" s="109"/>
      <c r="N415" s="76"/>
      <c r="O415" s="109">
        <v>15</v>
      </c>
      <c r="P415" s="109">
        <v>135</v>
      </c>
      <c r="Q415" s="76">
        <f t="shared" si="32"/>
        <v>2025</v>
      </c>
    </row>
    <row r="416" spans="3:17" ht="16.5">
      <c r="C416" s="142"/>
      <c r="D416" s="609" t="s">
        <v>1142</v>
      </c>
      <c r="E416" s="109"/>
      <c r="F416" s="756"/>
      <c r="G416" s="777"/>
      <c r="H416" s="772"/>
      <c r="I416" s="824"/>
      <c r="J416" s="109"/>
      <c r="K416" s="109"/>
      <c r="L416" s="296"/>
      <c r="M416" s="109"/>
      <c r="N416" s="76"/>
      <c r="O416" s="109">
        <v>15</v>
      </c>
      <c r="P416" s="109">
        <v>50</v>
      </c>
      <c r="Q416" s="76">
        <f t="shared" si="32"/>
        <v>750</v>
      </c>
    </row>
    <row r="417" spans="3:17" ht="16.5">
      <c r="C417" s="142"/>
      <c r="D417" s="882" t="s">
        <v>1143</v>
      </c>
      <c r="E417" s="109"/>
      <c r="F417" s="756"/>
      <c r="G417" s="777"/>
      <c r="H417" s="772"/>
      <c r="I417" s="824"/>
      <c r="J417" s="109"/>
      <c r="K417" s="109"/>
      <c r="L417" s="296"/>
      <c r="M417" s="109"/>
      <c r="N417" s="76"/>
      <c r="O417" s="109">
        <v>50</v>
      </c>
      <c r="P417" s="109">
        <v>15</v>
      </c>
      <c r="Q417" s="76">
        <f t="shared" si="32"/>
        <v>750</v>
      </c>
    </row>
    <row r="418" spans="3:17" ht="16.5">
      <c r="C418" s="142"/>
      <c r="D418" s="882" t="s">
        <v>1144</v>
      </c>
      <c r="E418" s="109"/>
      <c r="F418" s="756"/>
      <c r="G418" s="777"/>
      <c r="H418" s="772"/>
      <c r="I418" s="824"/>
      <c r="J418" s="109"/>
      <c r="K418" s="109"/>
      <c r="L418" s="296"/>
      <c r="M418" s="109"/>
      <c r="N418" s="76"/>
      <c r="O418" s="109">
        <v>8</v>
      </c>
      <c r="P418" s="109">
        <v>50.9</v>
      </c>
      <c r="Q418" s="76">
        <f t="shared" si="32"/>
        <v>407.2</v>
      </c>
    </row>
    <row r="419" spans="3:17" ht="16.5">
      <c r="C419" s="142"/>
      <c r="D419" s="875"/>
      <c r="E419" s="109"/>
      <c r="F419" s="756"/>
      <c r="G419" s="777"/>
      <c r="H419" s="772"/>
      <c r="I419" s="824"/>
      <c r="J419" s="109"/>
      <c r="K419" s="109"/>
      <c r="L419" s="296"/>
      <c r="M419" s="109"/>
      <c r="N419" s="76"/>
      <c r="O419" s="109"/>
      <c r="P419" s="109"/>
      <c r="Q419" s="76">
        <f t="shared" si="32"/>
        <v>0</v>
      </c>
    </row>
    <row r="420" spans="1:17" ht="33">
      <c r="A420" s="723"/>
      <c r="B420" s="723"/>
      <c r="C420" s="784">
        <v>621</v>
      </c>
      <c r="D420" s="707" t="s">
        <v>574</v>
      </c>
      <c r="E420" s="708">
        <v>5</v>
      </c>
      <c r="F420" s="296"/>
      <c r="G420" s="694">
        <f>SUM(G421:G431)</f>
        <v>51</v>
      </c>
      <c r="H420" s="72"/>
      <c r="I420" s="72"/>
      <c r="J420" s="728">
        <v>20</v>
      </c>
      <c r="K420" s="109"/>
      <c r="L420" s="362">
        <f>SUM(L421:L423)</f>
        <v>0</v>
      </c>
      <c r="M420" s="109"/>
      <c r="N420" s="694">
        <f>SUM(N421:N423)</f>
        <v>0</v>
      </c>
      <c r="O420" s="694">
        <f>SUM(O421:O423)</f>
        <v>0</v>
      </c>
      <c r="P420" s="109"/>
      <c r="Q420" s="694">
        <f>SUM(Q421:Q461)</f>
        <v>800</v>
      </c>
    </row>
    <row r="421" spans="3:17" ht="14.25">
      <c r="C421" s="142"/>
      <c r="D421" s="776" t="s">
        <v>781</v>
      </c>
      <c r="E421" s="115"/>
      <c r="F421" s="780" t="s">
        <v>686</v>
      </c>
      <c r="G421" s="796">
        <v>10</v>
      </c>
      <c r="H421" s="791">
        <v>2020</v>
      </c>
      <c r="I421" s="824">
        <v>492</v>
      </c>
      <c r="J421" s="109">
        <f aca="true" t="shared" si="33" ref="J421:J431">IF(($J$14-H421)*J$420&gt;100,100,($J$14-H421)*J$420)</f>
        <v>60</v>
      </c>
      <c r="K421" s="109">
        <f>IF(J421=100,0,I421-I421*J421%)</f>
        <v>196.8</v>
      </c>
      <c r="L421" s="296"/>
      <c r="M421" s="109"/>
      <c r="N421" s="76">
        <f>+L421*M421</f>
        <v>0</v>
      </c>
      <c r="O421" s="109"/>
      <c r="P421" s="109"/>
      <c r="Q421" s="76">
        <f>+O421*P421</f>
        <v>0</v>
      </c>
    </row>
    <row r="422" spans="3:17" ht="14.25">
      <c r="C422" s="142"/>
      <c r="D422" s="776" t="s">
        <v>781</v>
      </c>
      <c r="E422" s="115"/>
      <c r="F422" s="780" t="s">
        <v>686</v>
      </c>
      <c r="G422" s="796">
        <v>5</v>
      </c>
      <c r="H422" s="791">
        <v>2020</v>
      </c>
      <c r="I422" s="824">
        <v>246</v>
      </c>
      <c r="J422" s="109">
        <f t="shared" si="33"/>
        <v>60</v>
      </c>
      <c r="K422" s="109">
        <f>IF(J422=100,0,I422-I422*J422%)</f>
        <v>98.4</v>
      </c>
      <c r="L422" s="296"/>
      <c r="M422" s="109"/>
      <c r="N422" s="76">
        <f aca="true" t="shared" si="34" ref="N422:N432">+L422*M422</f>
        <v>0</v>
      </c>
      <c r="O422" s="109"/>
      <c r="P422" s="109"/>
      <c r="Q422" s="76">
        <f aca="true" t="shared" si="35" ref="Q422:Q432">+O422*P422</f>
        <v>0</v>
      </c>
    </row>
    <row r="423" spans="3:17" ht="14.25">
      <c r="C423" s="142"/>
      <c r="D423" s="795" t="s">
        <v>803</v>
      </c>
      <c r="E423" s="115"/>
      <c r="F423" s="780" t="s">
        <v>686</v>
      </c>
      <c r="G423" s="72">
        <v>9</v>
      </c>
      <c r="H423" s="72">
        <v>2021</v>
      </c>
      <c r="I423" s="829">
        <v>531.927</v>
      </c>
      <c r="J423" s="109">
        <f t="shared" si="33"/>
        <v>40</v>
      </c>
      <c r="K423" s="109">
        <f>IF(J423=100,0,I423-I423*J423%)</f>
        <v>319.1562</v>
      </c>
      <c r="L423" s="296"/>
      <c r="M423" s="109"/>
      <c r="N423" s="76">
        <f t="shared" si="34"/>
        <v>0</v>
      </c>
      <c r="O423" s="109"/>
      <c r="P423" s="109"/>
      <c r="Q423" s="76">
        <f t="shared" si="35"/>
        <v>0</v>
      </c>
    </row>
    <row r="424" spans="3:17" ht="14.25">
      <c r="C424" s="142"/>
      <c r="D424" s="756" t="s">
        <v>978</v>
      </c>
      <c r="E424" s="115"/>
      <c r="F424" s="756" t="s">
        <v>686</v>
      </c>
      <c r="G424" s="757">
        <v>4</v>
      </c>
      <c r="H424" s="757">
        <v>2008</v>
      </c>
      <c r="I424" s="822">
        <v>432</v>
      </c>
      <c r="J424" s="109">
        <f t="shared" si="33"/>
        <v>100</v>
      </c>
      <c r="K424" s="109">
        <f aca="true" t="shared" si="36" ref="K424:K431">IF(J424=100,0,I424-I424*J424%)</f>
        <v>0</v>
      </c>
      <c r="L424" s="296"/>
      <c r="M424" s="109"/>
      <c r="N424" s="76">
        <f t="shared" si="34"/>
        <v>0</v>
      </c>
      <c r="O424" s="109"/>
      <c r="P424" s="109"/>
      <c r="Q424" s="76">
        <f t="shared" si="35"/>
        <v>0</v>
      </c>
    </row>
    <row r="425" spans="3:17" ht="14.25">
      <c r="C425" s="142"/>
      <c r="D425" s="756" t="s">
        <v>979</v>
      </c>
      <c r="E425" s="115"/>
      <c r="F425" s="756" t="s">
        <v>686</v>
      </c>
      <c r="G425" s="757">
        <v>6</v>
      </c>
      <c r="H425" s="757">
        <v>2008</v>
      </c>
      <c r="I425" s="822">
        <v>504</v>
      </c>
      <c r="J425" s="109">
        <f t="shared" si="33"/>
        <v>100</v>
      </c>
      <c r="K425" s="109">
        <f t="shared" si="36"/>
        <v>0</v>
      </c>
      <c r="L425" s="296"/>
      <c r="M425" s="109"/>
      <c r="N425" s="76">
        <f t="shared" si="34"/>
        <v>0</v>
      </c>
      <c r="O425" s="109"/>
      <c r="P425" s="109"/>
      <c r="Q425" s="76">
        <f t="shared" si="35"/>
        <v>0</v>
      </c>
    </row>
    <row r="426" spans="3:17" ht="14.25">
      <c r="C426" s="142"/>
      <c r="D426" s="756" t="s">
        <v>980</v>
      </c>
      <c r="E426" s="115"/>
      <c r="F426" s="756" t="s">
        <v>686</v>
      </c>
      <c r="G426" s="757">
        <v>4</v>
      </c>
      <c r="H426" s="757">
        <v>2008</v>
      </c>
      <c r="I426" s="822">
        <v>384</v>
      </c>
      <c r="J426" s="109">
        <f t="shared" si="33"/>
        <v>100</v>
      </c>
      <c r="K426" s="109">
        <f t="shared" si="36"/>
        <v>0</v>
      </c>
      <c r="L426" s="296"/>
      <c r="M426" s="109"/>
      <c r="N426" s="76">
        <f t="shared" si="34"/>
        <v>0</v>
      </c>
      <c r="O426" s="109"/>
      <c r="P426" s="109"/>
      <c r="Q426" s="76">
        <f t="shared" si="35"/>
        <v>0</v>
      </c>
    </row>
    <row r="427" spans="3:17" ht="14.25">
      <c r="C427" s="142"/>
      <c r="D427" s="756" t="s">
        <v>981</v>
      </c>
      <c r="E427" s="115"/>
      <c r="F427" s="756" t="s">
        <v>686</v>
      </c>
      <c r="G427" s="757">
        <v>1</v>
      </c>
      <c r="H427" s="757">
        <v>2012</v>
      </c>
      <c r="I427" s="822">
        <v>70.32</v>
      </c>
      <c r="J427" s="109">
        <f t="shared" si="33"/>
        <v>100</v>
      </c>
      <c r="K427" s="109">
        <f t="shared" si="36"/>
        <v>0</v>
      </c>
      <c r="L427" s="296"/>
      <c r="M427" s="109"/>
      <c r="N427" s="76">
        <f t="shared" si="34"/>
        <v>0</v>
      </c>
      <c r="O427" s="109"/>
      <c r="P427" s="109"/>
      <c r="Q427" s="76">
        <f t="shared" si="35"/>
        <v>0</v>
      </c>
    </row>
    <row r="428" spans="3:17" ht="14.25">
      <c r="C428" s="142"/>
      <c r="D428" s="756" t="s">
        <v>982</v>
      </c>
      <c r="E428" s="115"/>
      <c r="F428" s="765" t="s">
        <v>686</v>
      </c>
      <c r="G428" s="767">
        <v>1</v>
      </c>
      <c r="H428" s="767">
        <v>2012</v>
      </c>
      <c r="I428" s="822">
        <v>70.32</v>
      </c>
      <c r="J428" s="109">
        <f t="shared" si="33"/>
        <v>100</v>
      </c>
      <c r="K428" s="109">
        <f t="shared" si="36"/>
        <v>0</v>
      </c>
      <c r="L428" s="296"/>
      <c r="M428" s="109"/>
      <c r="N428" s="76">
        <f t="shared" si="34"/>
        <v>0</v>
      </c>
      <c r="O428" s="109"/>
      <c r="P428" s="109"/>
      <c r="Q428" s="76">
        <f t="shared" si="35"/>
        <v>0</v>
      </c>
    </row>
    <row r="429" spans="3:17" ht="14.25">
      <c r="C429" s="142"/>
      <c r="D429" s="756" t="s">
        <v>899</v>
      </c>
      <c r="E429" s="115"/>
      <c r="F429" s="296" t="s">
        <v>686</v>
      </c>
      <c r="G429" s="72">
        <v>1</v>
      </c>
      <c r="H429" s="72">
        <v>2008</v>
      </c>
      <c r="I429" s="72">
        <v>123.2</v>
      </c>
      <c r="J429" s="109">
        <f t="shared" si="33"/>
        <v>100</v>
      </c>
      <c r="K429" s="109">
        <f t="shared" si="36"/>
        <v>0</v>
      </c>
      <c r="L429" s="296"/>
      <c r="M429" s="109"/>
      <c r="N429" s="76">
        <f t="shared" si="34"/>
        <v>0</v>
      </c>
      <c r="O429" s="109"/>
      <c r="P429" s="109"/>
      <c r="Q429" s="76">
        <f t="shared" si="35"/>
        <v>0</v>
      </c>
    </row>
    <row r="430" spans="3:17" ht="14.25">
      <c r="C430" s="142"/>
      <c r="D430" s="756" t="s">
        <v>904</v>
      </c>
      <c r="E430" s="115"/>
      <c r="F430" s="296" t="s">
        <v>686</v>
      </c>
      <c r="G430" s="72">
        <v>5</v>
      </c>
      <c r="H430" s="72">
        <v>2007</v>
      </c>
      <c r="I430" s="72">
        <v>252</v>
      </c>
      <c r="J430" s="109">
        <f t="shared" si="33"/>
        <v>100</v>
      </c>
      <c r="K430" s="109">
        <f t="shared" si="36"/>
        <v>0</v>
      </c>
      <c r="L430" s="296"/>
      <c r="M430" s="109"/>
      <c r="N430" s="76">
        <f t="shared" si="34"/>
        <v>0</v>
      </c>
      <c r="O430" s="109"/>
      <c r="P430" s="109"/>
      <c r="Q430" s="76">
        <f t="shared" si="35"/>
        <v>0</v>
      </c>
    </row>
    <row r="431" spans="3:17" ht="27">
      <c r="C431" s="142"/>
      <c r="D431" s="782" t="s">
        <v>961</v>
      </c>
      <c r="E431" s="799"/>
      <c r="F431" s="296" t="s">
        <v>686</v>
      </c>
      <c r="G431" s="812">
        <v>5</v>
      </c>
      <c r="H431" s="767">
        <v>2008</v>
      </c>
      <c r="I431" s="823">
        <v>316.15</v>
      </c>
      <c r="J431" s="109">
        <f t="shared" si="33"/>
        <v>100</v>
      </c>
      <c r="K431" s="109">
        <f t="shared" si="36"/>
        <v>0</v>
      </c>
      <c r="L431" s="296"/>
      <c r="M431" s="109"/>
      <c r="N431" s="76">
        <f t="shared" si="34"/>
        <v>0</v>
      </c>
      <c r="O431" s="109"/>
      <c r="P431" s="109"/>
      <c r="Q431" s="76">
        <f t="shared" si="35"/>
        <v>0</v>
      </c>
    </row>
    <row r="432" spans="3:17" ht="14.25">
      <c r="C432" s="142"/>
      <c r="D432" s="778"/>
      <c r="E432" s="115"/>
      <c r="F432" s="780"/>
      <c r="G432" s="72"/>
      <c r="H432" s="72"/>
      <c r="I432" s="829"/>
      <c r="J432" s="109"/>
      <c r="K432" s="109"/>
      <c r="L432" s="296"/>
      <c r="M432" s="109"/>
      <c r="N432" s="76">
        <f t="shared" si="34"/>
        <v>0</v>
      </c>
      <c r="O432" s="109"/>
      <c r="P432" s="109"/>
      <c r="Q432" s="76">
        <f t="shared" si="35"/>
        <v>0</v>
      </c>
    </row>
    <row r="433" spans="1:17" ht="82.5">
      <c r="A433" s="723"/>
      <c r="B433" s="723"/>
      <c r="C433" s="784">
        <v>622</v>
      </c>
      <c r="D433" s="816" t="s">
        <v>577</v>
      </c>
      <c r="E433" s="708">
        <v>8</v>
      </c>
      <c r="F433" s="296"/>
      <c r="G433" s="694">
        <f>SUM(G434:G458)</f>
        <v>78</v>
      </c>
      <c r="H433" s="72"/>
      <c r="I433" s="72"/>
      <c r="J433" s="728">
        <v>12.5</v>
      </c>
      <c r="K433" s="109"/>
      <c r="L433" s="362">
        <f>SUM(L434:L441)</f>
        <v>0</v>
      </c>
      <c r="M433" s="109"/>
      <c r="N433" s="694">
        <f>+L433*M433</f>
        <v>0</v>
      </c>
      <c r="O433" s="694"/>
      <c r="P433" s="109"/>
      <c r="Q433" s="694">
        <f>+O433*P433</f>
        <v>0</v>
      </c>
    </row>
    <row r="434" spans="3:17" ht="14.25">
      <c r="C434" s="142"/>
      <c r="D434" s="781" t="s">
        <v>782</v>
      </c>
      <c r="E434" s="115"/>
      <c r="F434" s="780" t="s">
        <v>686</v>
      </c>
      <c r="G434" s="757">
        <v>4</v>
      </c>
      <c r="H434" s="757">
        <v>2008</v>
      </c>
      <c r="I434" s="321">
        <v>174</v>
      </c>
      <c r="J434" s="109">
        <f aca="true" t="shared" si="37" ref="J434:J458">IF(($J$14-H434)*J$433&gt;100,100,($J$14-H434)*J$433)</f>
        <v>100</v>
      </c>
      <c r="K434" s="109">
        <f>IF(J434=100,0,I434-I434*J434%)</f>
        <v>0</v>
      </c>
      <c r="L434" s="296"/>
      <c r="M434" s="109"/>
      <c r="N434" s="76">
        <f>+L434*M434</f>
        <v>0</v>
      </c>
      <c r="O434" s="109"/>
      <c r="P434" s="109"/>
      <c r="Q434" s="76">
        <f>+O434*P434</f>
        <v>0</v>
      </c>
    </row>
    <row r="435" spans="3:17" ht="14.25">
      <c r="C435" s="142"/>
      <c r="D435" s="781" t="s">
        <v>783</v>
      </c>
      <c r="E435" s="115"/>
      <c r="F435" s="780" t="s">
        <v>686</v>
      </c>
      <c r="G435" s="757">
        <v>10</v>
      </c>
      <c r="H435" s="757">
        <v>2008</v>
      </c>
      <c r="I435" s="321">
        <v>1401.9</v>
      </c>
      <c r="J435" s="109">
        <f t="shared" si="37"/>
        <v>100</v>
      </c>
      <c r="K435" s="109">
        <f aca="true" t="shared" si="38" ref="K435:K458">IF(J435=100,0,I435-I435*J435%)</f>
        <v>0</v>
      </c>
      <c r="L435" s="296"/>
      <c r="M435" s="109"/>
      <c r="N435" s="76">
        <f aca="true" t="shared" si="39" ref="N435:N458">+L435*M435</f>
        <v>0</v>
      </c>
      <c r="O435" s="109"/>
      <c r="P435" s="109"/>
      <c r="Q435" s="76">
        <f aca="true" t="shared" si="40" ref="Q435:Q441">+O435*P435</f>
        <v>0</v>
      </c>
    </row>
    <row r="436" spans="3:17" ht="14.25">
      <c r="C436" s="142"/>
      <c r="D436" s="781" t="s">
        <v>784</v>
      </c>
      <c r="E436" s="115"/>
      <c r="F436" s="780" t="s">
        <v>686</v>
      </c>
      <c r="G436" s="757">
        <v>3</v>
      </c>
      <c r="H436" s="757">
        <v>2008</v>
      </c>
      <c r="I436" s="321">
        <v>992.25</v>
      </c>
      <c r="J436" s="109">
        <f t="shared" si="37"/>
        <v>100</v>
      </c>
      <c r="K436" s="109">
        <f t="shared" si="38"/>
        <v>0</v>
      </c>
      <c r="L436" s="296"/>
      <c r="M436" s="109"/>
      <c r="N436" s="76">
        <f t="shared" si="39"/>
        <v>0</v>
      </c>
      <c r="O436" s="109"/>
      <c r="P436" s="109"/>
      <c r="Q436" s="76">
        <f t="shared" si="40"/>
        <v>0</v>
      </c>
    </row>
    <row r="437" spans="3:17" ht="14.25">
      <c r="C437" s="142"/>
      <c r="D437" s="781" t="s">
        <v>785</v>
      </c>
      <c r="E437" s="115"/>
      <c r="F437" s="780" t="s">
        <v>686</v>
      </c>
      <c r="G437" s="757">
        <v>5</v>
      </c>
      <c r="H437" s="757">
        <v>2012</v>
      </c>
      <c r="I437" s="321">
        <v>975</v>
      </c>
      <c r="J437" s="109">
        <f t="shared" si="37"/>
        <v>100</v>
      </c>
      <c r="K437" s="109">
        <f t="shared" si="38"/>
        <v>0</v>
      </c>
      <c r="L437" s="296"/>
      <c r="M437" s="109"/>
      <c r="N437" s="76">
        <f t="shared" si="39"/>
        <v>0</v>
      </c>
      <c r="O437" s="109"/>
      <c r="P437" s="109"/>
      <c r="Q437" s="76">
        <f t="shared" si="40"/>
        <v>0</v>
      </c>
    </row>
    <row r="438" spans="3:17" ht="27">
      <c r="C438" s="142"/>
      <c r="D438" s="782" t="s">
        <v>786</v>
      </c>
      <c r="E438" s="115"/>
      <c r="F438" s="780" t="s">
        <v>686</v>
      </c>
      <c r="G438" s="757">
        <v>1</v>
      </c>
      <c r="H438" s="757">
        <v>2008</v>
      </c>
      <c r="I438" s="321">
        <v>282.15</v>
      </c>
      <c r="J438" s="109">
        <f t="shared" si="37"/>
        <v>100</v>
      </c>
      <c r="K438" s="109">
        <f t="shared" si="38"/>
        <v>0</v>
      </c>
      <c r="L438" s="296"/>
      <c r="M438" s="109"/>
      <c r="N438" s="76">
        <f t="shared" si="39"/>
        <v>0</v>
      </c>
      <c r="O438" s="109"/>
      <c r="P438" s="109"/>
      <c r="Q438" s="76">
        <f t="shared" si="40"/>
        <v>0</v>
      </c>
    </row>
    <row r="439" spans="3:17" ht="14.25">
      <c r="C439" s="142"/>
      <c r="D439" s="783" t="s">
        <v>787</v>
      </c>
      <c r="E439" s="115"/>
      <c r="F439" s="780" t="s">
        <v>686</v>
      </c>
      <c r="G439" s="757">
        <v>1</v>
      </c>
      <c r="H439" s="757">
        <v>2008</v>
      </c>
      <c r="I439" s="321">
        <v>77.18</v>
      </c>
      <c r="J439" s="109">
        <f t="shared" si="37"/>
        <v>100</v>
      </c>
      <c r="K439" s="109">
        <f t="shared" si="38"/>
        <v>0</v>
      </c>
      <c r="L439" s="296"/>
      <c r="M439" s="109"/>
      <c r="N439" s="76">
        <f t="shared" si="39"/>
        <v>0</v>
      </c>
      <c r="O439" s="109"/>
      <c r="P439" s="109"/>
      <c r="Q439" s="76">
        <f t="shared" si="40"/>
        <v>0</v>
      </c>
    </row>
    <row r="440" spans="3:17" ht="14.25">
      <c r="C440" s="142"/>
      <c r="D440" s="783" t="s">
        <v>788</v>
      </c>
      <c r="E440" s="115"/>
      <c r="F440" s="780" t="s">
        <v>686</v>
      </c>
      <c r="G440" s="757">
        <v>1</v>
      </c>
      <c r="H440" s="757">
        <v>2008</v>
      </c>
      <c r="I440" s="321">
        <v>41.11</v>
      </c>
      <c r="J440" s="109">
        <f t="shared" si="37"/>
        <v>100</v>
      </c>
      <c r="K440" s="109">
        <f t="shared" si="38"/>
        <v>0</v>
      </c>
      <c r="L440" s="296"/>
      <c r="M440" s="109"/>
      <c r="N440" s="76">
        <f t="shared" si="39"/>
        <v>0</v>
      </c>
      <c r="O440" s="109"/>
      <c r="P440" s="109"/>
      <c r="Q440" s="76">
        <f t="shared" si="40"/>
        <v>0</v>
      </c>
    </row>
    <row r="441" spans="3:17" ht="14.25">
      <c r="C441" s="142"/>
      <c r="D441" s="756" t="s">
        <v>780</v>
      </c>
      <c r="E441" s="115"/>
      <c r="F441" s="780" t="s">
        <v>686</v>
      </c>
      <c r="G441" s="72">
        <v>1</v>
      </c>
      <c r="H441" s="72">
        <v>2010</v>
      </c>
      <c r="I441" s="72">
        <v>1590</v>
      </c>
      <c r="J441" s="109">
        <f t="shared" si="37"/>
        <v>100</v>
      </c>
      <c r="K441" s="109">
        <f t="shared" si="38"/>
        <v>0</v>
      </c>
      <c r="L441" s="296"/>
      <c r="M441" s="109"/>
      <c r="N441" s="76">
        <f t="shared" si="39"/>
        <v>0</v>
      </c>
      <c r="O441" s="109"/>
      <c r="P441" s="109"/>
      <c r="Q441" s="76">
        <f t="shared" si="40"/>
        <v>0</v>
      </c>
    </row>
    <row r="442" spans="3:17" ht="27">
      <c r="C442" s="142"/>
      <c r="D442" s="785" t="s">
        <v>789</v>
      </c>
      <c r="E442" s="115"/>
      <c r="F442" s="780" t="s">
        <v>686</v>
      </c>
      <c r="G442" s="767"/>
      <c r="H442" s="767">
        <v>2011</v>
      </c>
      <c r="I442" s="321">
        <v>4225</v>
      </c>
      <c r="J442" s="109">
        <f t="shared" si="37"/>
        <v>100</v>
      </c>
      <c r="K442" s="109">
        <f t="shared" si="38"/>
        <v>0</v>
      </c>
      <c r="L442" s="296"/>
      <c r="M442" s="109"/>
      <c r="N442" s="76">
        <f t="shared" si="39"/>
        <v>0</v>
      </c>
      <c r="O442" s="109"/>
      <c r="P442" s="109"/>
      <c r="Q442" s="76">
        <f aca="true" t="shared" si="41" ref="Q442:Q461">+O442*P442</f>
        <v>0</v>
      </c>
    </row>
    <row r="443" spans="3:17" ht="14.25">
      <c r="C443" s="142"/>
      <c r="D443" s="786" t="s">
        <v>790</v>
      </c>
      <c r="E443" s="115"/>
      <c r="F443" s="780" t="s">
        <v>686</v>
      </c>
      <c r="G443" s="767">
        <v>1</v>
      </c>
      <c r="H443" s="767">
        <v>2011</v>
      </c>
      <c r="I443" s="822">
        <v>4972.8</v>
      </c>
      <c r="J443" s="109">
        <f t="shared" si="37"/>
        <v>100</v>
      </c>
      <c r="K443" s="109">
        <f t="shared" si="38"/>
        <v>0</v>
      </c>
      <c r="L443" s="296"/>
      <c r="M443" s="109"/>
      <c r="N443" s="76">
        <f t="shared" si="39"/>
        <v>0</v>
      </c>
      <c r="O443" s="109"/>
      <c r="P443" s="109"/>
      <c r="Q443" s="76">
        <f t="shared" si="41"/>
        <v>0</v>
      </c>
    </row>
    <row r="444" spans="3:17" ht="14.25">
      <c r="C444" s="142"/>
      <c r="D444" s="787" t="s">
        <v>791</v>
      </c>
      <c r="E444" s="115"/>
      <c r="F444" s="780" t="s">
        <v>686</v>
      </c>
      <c r="G444" s="767">
        <v>1</v>
      </c>
      <c r="H444" s="767">
        <v>2010</v>
      </c>
      <c r="I444" s="822">
        <v>1920</v>
      </c>
      <c r="J444" s="109">
        <f t="shared" si="37"/>
        <v>100</v>
      </c>
      <c r="K444" s="109">
        <f t="shared" si="38"/>
        <v>0</v>
      </c>
      <c r="L444" s="296"/>
      <c r="M444" s="109"/>
      <c r="N444" s="76">
        <f t="shared" si="39"/>
        <v>0</v>
      </c>
      <c r="O444" s="109"/>
      <c r="P444" s="109"/>
      <c r="Q444" s="76">
        <f t="shared" si="41"/>
        <v>0</v>
      </c>
    </row>
    <row r="445" spans="3:17" ht="14.25">
      <c r="C445" s="142"/>
      <c r="D445" s="786" t="s">
        <v>792</v>
      </c>
      <c r="E445" s="115"/>
      <c r="F445" s="780" t="s">
        <v>686</v>
      </c>
      <c r="G445" s="767">
        <v>1</v>
      </c>
      <c r="H445" s="767">
        <v>2011</v>
      </c>
      <c r="I445" s="822">
        <v>4972.8</v>
      </c>
      <c r="J445" s="109">
        <f t="shared" si="37"/>
        <v>100</v>
      </c>
      <c r="K445" s="109">
        <f t="shared" si="38"/>
        <v>0</v>
      </c>
      <c r="L445" s="296"/>
      <c r="M445" s="109"/>
      <c r="N445" s="76">
        <f t="shared" si="39"/>
        <v>0</v>
      </c>
      <c r="O445" s="109"/>
      <c r="P445" s="109"/>
      <c r="Q445" s="76">
        <f t="shared" si="41"/>
        <v>0</v>
      </c>
    </row>
    <row r="446" spans="3:17" ht="14.25">
      <c r="C446" s="142"/>
      <c r="D446" s="788" t="s">
        <v>793</v>
      </c>
      <c r="E446" s="115"/>
      <c r="F446" s="780" t="s">
        <v>686</v>
      </c>
      <c r="G446" s="767">
        <v>1</v>
      </c>
      <c r="H446" s="767">
        <v>2012</v>
      </c>
      <c r="I446" s="822">
        <v>1037.75</v>
      </c>
      <c r="J446" s="109">
        <f t="shared" si="37"/>
        <v>100</v>
      </c>
      <c r="K446" s="109">
        <f t="shared" si="38"/>
        <v>0</v>
      </c>
      <c r="L446" s="296"/>
      <c r="M446" s="109"/>
      <c r="N446" s="76">
        <f t="shared" si="39"/>
        <v>0</v>
      </c>
      <c r="O446" s="109"/>
      <c r="P446" s="109"/>
      <c r="Q446" s="76">
        <f t="shared" si="41"/>
        <v>0</v>
      </c>
    </row>
    <row r="447" spans="3:17" ht="14.25">
      <c r="C447" s="142"/>
      <c r="D447" s="788" t="s">
        <v>794</v>
      </c>
      <c r="E447" s="115"/>
      <c r="F447" s="780" t="s">
        <v>686</v>
      </c>
      <c r="G447" s="767">
        <v>1</v>
      </c>
      <c r="H447" s="767">
        <v>2012</v>
      </c>
      <c r="I447" s="822">
        <v>952.4</v>
      </c>
      <c r="J447" s="109">
        <f t="shared" si="37"/>
        <v>100</v>
      </c>
      <c r="K447" s="109">
        <f t="shared" si="38"/>
        <v>0</v>
      </c>
      <c r="L447" s="296"/>
      <c r="M447" s="109"/>
      <c r="N447" s="76">
        <f t="shared" si="39"/>
        <v>0</v>
      </c>
      <c r="O447" s="109"/>
      <c r="P447" s="109"/>
      <c r="Q447" s="76">
        <f t="shared" si="41"/>
        <v>0</v>
      </c>
    </row>
    <row r="448" spans="3:17" ht="14.25">
      <c r="C448" s="142"/>
      <c r="D448" s="765" t="s">
        <v>795</v>
      </c>
      <c r="E448" s="115"/>
      <c r="F448" s="780" t="s">
        <v>686</v>
      </c>
      <c r="G448" s="767">
        <v>1</v>
      </c>
      <c r="H448" s="767">
        <v>2012</v>
      </c>
      <c r="I448" s="72">
        <v>133.9</v>
      </c>
      <c r="J448" s="109">
        <f t="shared" si="37"/>
        <v>100</v>
      </c>
      <c r="K448" s="109">
        <f t="shared" si="38"/>
        <v>0</v>
      </c>
      <c r="L448" s="296"/>
      <c r="M448" s="109"/>
      <c r="N448" s="76">
        <f t="shared" si="39"/>
        <v>0</v>
      </c>
      <c r="O448" s="109"/>
      <c r="P448" s="109"/>
      <c r="Q448" s="76">
        <f t="shared" si="41"/>
        <v>0</v>
      </c>
    </row>
    <row r="449" spans="3:17" ht="14.25">
      <c r="C449" s="142"/>
      <c r="D449" s="765" t="s">
        <v>796</v>
      </c>
      <c r="E449" s="115"/>
      <c r="F449" s="780" t="s">
        <v>686</v>
      </c>
      <c r="G449" s="767">
        <v>6</v>
      </c>
      <c r="H449" s="767">
        <v>2014</v>
      </c>
      <c r="I449" s="72">
        <v>420</v>
      </c>
      <c r="J449" s="109">
        <f t="shared" si="37"/>
        <v>100</v>
      </c>
      <c r="K449" s="109">
        <f t="shared" si="38"/>
        <v>0</v>
      </c>
      <c r="L449" s="296"/>
      <c r="M449" s="109"/>
      <c r="N449" s="76">
        <f t="shared" si="39"/>
        <v>0</v>
      </c>
      <c r="O449" s="109"/>
      <c r="P449" s="109"/>
      <c r="Q449" s="76">
        <f t="shared" si="41"/>
        <v>0</v>
      </c>
    </row>
    <row r="450" spans="3:17" ht="16.5">
      <c r="C450" s="142"/>
      <c r="D450" s="775" t="s">
        <v>797</v>
      </c>
      <c r="E450" s="115"/>
      <c r="F450" s="780" t="s">
        <v>686</v>
      </c>
      <c r="G450" s="774">
        <v>1</v>
      </c>
      <c r="H450" s="791">
        <v>2017</v>
      </c>
      <c r="I450" s="826">
        <v>265</v>
      </c>
      <c r="J450" s="109">
        <f t="shared" si="37"/>
        <v>75</v>
      </c>
      <c r="K450" s="109">
        <f t="shared" si="38"/>
        <v>66.25</v>
      </c>
      <c r="L450" s="296"/>
      <c r="M450" s="109"/>
      <c r="N450" s="76">
        <f t="shared" si="39"/>
        <v>0</v>
      </c>
      <c r="O450" s="109"/>
      <c r="P450" s="109"/>
      <c r="Q450" s="76">
        <f t="shared" si="41"/>
        <v>0</v>
      </c>
    </row>
    <row r="451" spans="3:17" ht="16.5">
      <c r="C451" s="142"/>
      <c r="D451" s="775" t="s">
        <v>797</v>
      </c>
      <c r="E451" s="115"/>
      <c r="F451" s="780" t="s">
        <v>686</v>
      </c>
      <c r="G451" s="774">
        <v>11</v>
      </c>
      <c r="H451" s="791">
        <v>2017</v>
      </c>
      <c r="I451" s="826">
        <v>2189</v>
      </c>
      <c r="J451" s="109">
        <f t="shared" si="37"/>
        <v>75</v>
      </c>
      <c r="K451" s="109">
        <f t="shared" si="38"/>
        <v>547.25</v>
      </c>
      <c r="L451" s="296"/>
      <c r="M451" s="109"/>
      <c r="N451" s="76">
        <f t="shared" si="39"/>
        <v>0</v>
      </c>
      <c r="O451" s="109"/>
      <c r="P451" s="109"/>
      <c r="Q451" s="76">
        <f t="shared" si="41"/>
        <v>0</v>
      </c>
    </row>
    <row r="452" spans="3:17" ht="16.5">
      <c r="C452" s="142"/>
      <c r="D452" s="775" t="s">
        <v>798</v>
      </c>
      <c r="E452" s="115"/>
      <c r="F452" s="780" t="s">
        <v>686</v>
      </c>
      <c r="G452" s="774">
        <v>16</v>
      </c>
      <c r="H452" s="791">
        <v>2017</v>
      </c>
      <c r="I452" s="826">
        <v>1424</v>
      </c>
      <c r="J452" s="109">
        <f t="shared" si="37"/>
        <v>75</v>
      </c>
      <c r="K452" s="109">
        <f t="shared" si="38"/>
        <v>356</v>
      </c>
      <c r="L452" s="296"/>
      <c r="M452" s="109"/>
      <c r="N452" s="76">
        <f t="shared" si="39"/>
        <v>0</v>
      </c>
      <c r="O452" s="109"/>
      <c r="P452" s="109"/>
      <c r="Q452" s="76">
        <f t="shared" si="41"/>
        <v>0</v>
      </c>
    </row>
    <row r="453" spans="3:17" ht="27.75">
      <c r="C453" s="142"/>
      <c r="D453" s="790" t="s">
        <v>799</v>
      </c>
      <c r="E453" s="115"/>
      <c r="F453" s="780" t="s">
        <v>686</v>
      </c>
      <c r="G453" s="774">
        <v>1</v>
      </c>
      <c r="H453" s="791">
        <v>2017</v>
      </c>
      <c r="I453" s="826">
        <v>248</v>
      </c>
      <c r="J453" s="109">
        <f t="shared" si="37"/>
        <v>75</v>
      </c>
      <c r="K453" s="109">
        <f t="shared" si="38"/>
        <v>62</v>
      </c>
      <c r="L453" s="296"/>
      <c r="M453" s="109"/>
      <c r="N453" s="76">
        <f t="shared" si="39"/>
        <v>0</v>
      </c>
      <c r="O453" s="109"/>
      <c r="P453" s="109"/>
      <c r="Q453" s="76">
        <f t="shared" si="41"/>
        <v>0</v>
      </c>
    </row>
    <row r="454" spans="3:17" ht="16.5">
      <c r="C454" s="142"/>
      <c r="D454" s="775" t="s">
        <v>797</v>
      </c>
      <c r="E454" s="115"/>
      <c r="F454" s="780" t="s">
        <v>686</v>
      </c>
      <c r="G454" s="774">
        <v>1</v>
      </c>
      <c r="H454" s="791">
        <v>2018</v>
      </c>
      <c r="I454" s="826">
        <v>280</v>
      </c>
      <c r="J454" s="109">
        <f t="shared" si="37"/>
        <v>62.5</v>
      </c>
      <c r="K454" s="109">
        <f t="shared" si="38"/>
        <v>105</v>
      </c>
      <c r="L454" s="296"/>
      <c r="M454" s="109"/>
      <c r="N454" s="76">
        <f t="shared" si="39"/>
        <v>0</v>
      </c>
      <c r="O454" s="109"/>
      <c r="P454" s="109"/>
      <c r="Q454" s="76">
        <f t="shared" si="41"/>
        <v>0</v>
      </c>
    </row>
    <row r="455" spans="3:17" ht="16.5">
      <c r="C455" s="142"/>
      <c r="D455" s="776" t="s">
        <v>800</v>
      </c>
      <c r="E455" s="115"/>
      <c r="F455" s="780" t="s">
        <v>686</v>
      </c>
      <c r="G455" s="774">
        <v>3</v>
      </c>
      <c r="H455" s="791">
        <v>2019</v>
      </c>
      <c r="I455" s="826">
        <v>678</v>
      </c>
      <c r="J455" s="109">
        <f t="shared" si="37"/>
        <v>50</v>
      </c>
      <c r="K455" s="109">
        <f t="shared" si="38"/>
        <v>339</v>
      </c>
      <c r="L455" s="296"/>
      <c r="M455" s="109"/>
      <c r="N455" s="76">
        <f t="shared" si="39"/>
        <v>0</v>
      </c>
      <c r="O455" s="109"/>
      <c r="P455" s="109"/>
      <c r="Q455" s="76">
        <f t="shared" si="41"/>
        <v>0</v>
      </c>
    </row>
    <row r="456" spans="3:17" ht="14.25">
      <c r="C456" s="142"/>
      <c r="D456" s="776" t="s">
        <v>801</v>
      </c>
      <c r="E456" s="115"/>
      <c r="F456" s="780" t="s">
        <v>686</v>
      </c>
      <c r="G456" s="72">
        <v>1</v>
      </c>
      <c r="H456" s="72">
        <v>2020</v>
      </c>
      <c r="I456" s="72">
        <v>185</v>
      </c>
      <c r="J456" s="109">
        <f t="shared" si="37"/>
        <v>37.5</v>
      </c>
      <c r="K456" s="109">
        <f t="shared" si="38"/>
        <v>115.625</v>
      </c>
      <c r="L456" s="296"/>
      <c r="M456" s="109"/>
      <c r="N456" s="76">
        <f t="shared" si="39"/>
        <v>0</v>
      </c>
      <c r="O456" s="109"/>
      <c r="P456" s="109"/>
      <c r="Q456" s="76">
        <f t="shared" si="41"/>
        <v>0</v>
      </c>
    </row>
    <row r="457" spans="3:17" ht="14.25">
      <c r="C457" s="142"/>
      <c r="D457" s="776" t="s">
        <v>802</v>
      </c>
      <c r="E457" s="115"/>
      <c r="F457" s="780" t="s">
        <v>686</v>
      </c>
      <c r="G457" s="72">
        <v>1</v>
      </c>
      <c r="H457" s="72">
        <v>2020</v>
      </c>
      <c r="I457" s="72">
        <v>95</v>
      </c>
      <c r="J457" s="109">
        <f t="shared" si="37"/>
        <v>37.5</v>
      </c>
      <c r="K457" s="109">
        <f t="shared" si="38"/>
        <v>59.375</v>
      </c>
      <c r="L457" s="296"/>
      <c r="M457" s="109"/>
      <c r="N457" s="76">
        <f t="shared" si="39"/>
        <v>0</v>
      </c>
      <c r="O457" s="109"/>
      <c r="P457" s="109"/>
      <c r="Q457" s="76">
        <f t="shared" si="41"/>
        <v>0</v>
      </c>
    </row>
    <row r="458" spans="3:17" ht="14.25">
      <c r="C458" s="142"/>
      <c r="D458" s="776" t="s">
        <v>983</v>
      </c>
      <c r="E458" s="115"/>
      <c r="F458" s="780" t="s">
        <v>686</v>
      </c>
      <c r="G458" s="72">
        <v>5</v>
      </c>
      <c r="H458" s="72">
        <v>2013</v>
      </c>
      <c r="I458" s="72">
        <v>315</v>
      </c>
      <c r="J458" s="109">
        <f t="shared" si="37"/>
        <v>100</v>
      </c>
      <c r="K458" s="109">
        <f t="shared" si="38"/>
        <v>0</v>
      </c>
      <c r="L458" s="296"/>
      <c r="M458" s="109"/>
      <c r="N458" s="76">
        <f t="shared" si="39"/>
        <v>0</v>
      </c>
      <c r="O458" s="109"/>
      <c r="P458" s="109"/>
      <c r="Q458" s="76">
        <f t="shared" si="41"/>
        <v>0</v>
      </c>
    </row>
    <row r="459" spans="3:17" ht="14.25">
      <c r="C459" s="142"/>
      <c r="D459" s="776"/>
      <c r="E459" s="115"/>
      <c r="F459" s="780"/>
      <c r="G459" s="72"/>
      <c r="H459" s="72"/>
      <c r="I459" s="72"/>
      <c r="J459" s="109"/>
      <c r="K459" s="109"/>
      <c r="L459" s="296"/>
      <c r="M459" s="109"/>
      <c r="N459" s="76"/>
      <c r="O459" s="109"/>
      <c r="P459" s="109"/>
      <c r="Q459" s="76">
        <f t="shared" si="41"/>
        <v>0</v>
      </c>
    </row>
    <row r="460" spans="3:17" ht="14.25">
      <c r="C460" s="142"/>
      <c r="D460" s="109" t="s">
        <v>1139</v>
      </c>
      <c r="E460" s="115"/>
      <c r="F460" s="780"/>
      <c r="G460" s="72"/>
      <c r="H460" s="72"/>
      <c r="I460" s="72"/>
      <c r="J460" s="109"/>
      <c r="K460" s="109"/>
      <c r="L460" s="296"/>
      <c r="M460" s="109"/>
      <c r="N460" s="76"/>
      <c r="O460" s="109">
        <v>5</v>
      </c>
      <c r="P460" s="109">
        <v>80</v>
      </c>
      <c r="Q460" s="76">
        <f t="shared" si="41"/>
        <v>400</v>
      </c>
    </row>
    <row r="461" spans="3:17" ht="14.25">
      <c r="C461" s="142"/>
      <c r="D461" s="109" t="s">
        <v>797</v>
      </c>
      <c r="E461" s="115"/>
      <c r="F461" s="780"/>
      <c r="G461" s="72"/>
      <c r="H461" s="72"/>
      <c r="I461" s="72"/>
      <c r="J461" s="109"/>
      <c r="K461" s="109"/>
      <c r="L461" s="296"/>
      <c r="M461" s="109"/>
      <c r="N461" s="76"/>
      <c r="O461" s="109">
        <v>1</v>
      </c>
      <c r="P461" s="109">
        <v>400</v>
      </c>
      <c r="Q461" s="76">
        <f t="shared" si="41"/>
        <v>400</v>
      </c>
    </row>
    <row r="462" spans="1:17" ht="29.25" customHeight="1">
      <c r="A462" s="723"/>
      <c r="B462" s="723"/>
      <c r="C462" s="784">
        <v>629</v>
      </c>
      <c r="D462" s="816" t="s">
        <v>579</v>
      </c>
      <c r="E462" s="708">
        <v>8</v>
      </c>
      <c r="F462" s="296"/>
      <c r="G462" s="694">
        <f>SUM(G463:G468)</f>
        <v>95.5</v>
      </c>
      <c r="H462" s="72"/>
      <c r="I462" s="72"/>
      <c r="J462" s="728">
        <v>12.5</v>
      </c>
      <c r="K462" s="109"/>
      <c r="L462" s="362">
        <f>SUM(L463:L481)</f>
        <v>19</v>
      </c>
      <c r="M462" s="455"/>
      <c r="N462" s="455">
        <f>SUM(N463:N481)</f>
        <v>4093</v>
      </c>
      <c r="O462" s="694"/>
      <c r="P462" s="109"/>
      <c r="Q462" s="694">
        <f>+O462*P462</f>
        <v>0</v>
      </c>
    </row>
    <row r="463" spans="3:17" ht="14.25">
      <c r="C463" s="142"/>
      <c r="D463" s="765" t="s">
        <v>778</v>
      </c>
      <c r="E463" s="115"/>
      <c r="F463" s="765" t="s">
        <v>779</v>
      </c>
      <c r="G463" s="72">
        <v>1</v>
      </c>
      <c r="H463" s="72">
        <v>2010</v>
      </c>
      <c r="I463" s="321">
        <v>198.9</v>
      </c>
      <c r="J463" s="109">
        <f aca="true" t="shared" si="42" ref="J463:J468">IF(($J$14-H463)*J$462&gt;100,100,($J$14-H463)*J$462)</f>
        <v>100</v>
      </c>
      <c r="K463" s="109">
        <f aca="true" t="shared" si="43" ref="K463:K468">IF(J463=100,0,I463-I463*J463%)</f>
        <v>0</v>
      </c>
      <c r="L463" s="296"/>
      <c r="M463" s="109"/>
      <c r="N463" s="76">
        <f aca="true" t="shared" si="44" ref="N463:N468">+L463*M463</f>
        <v>0</v>
      </c>
      <c r="O463" s="109"/>
      <c r="P463" s="109"/>
      <c r="Q463" s="76"/>
    </row>
    <row r="464" spans="3:17" ht="14.25">
      <c r="C464" s="142"/>
      <c r="D464" s="765" t="s">
        <v>776</v>
      </c>
      <c r="E464" s="115"/>
      <c r="F464" s="765" t="s">
        <v>777</v>
      </c>
      <c r="G464" s="767">
        <v>11</v>
      </c>
      <c r="H464" s="72">
        <v>2012</v>
      </c>
      <c r="I464" s="321">
        <v>65.78</v>
      </c>
      <c r="J464" s="109">
        <f t="shared" si="42"/>
        <v>100</v>
      </c>
      <c r="K464" s="109">
        <f t="shared" si="43"/>
        <v>0</v>
      </c>
      <c r="L464" s="296"/>
      <c r="M464" s="109"/>
      <c r="N464" s="76">
        <f t="shared" si="44"/>
        <v>0</v>
      </c>
      <c r="O464" s="109"/>
      <c r="P464" s="109"/>
      <c r="Q464" s="76"/>
    </row>
    <row r="465" spans="3:17" ht="14.25">
      <c r="C465" s="142"/>
      <c r="D465" s="765" t="s">
        <v>776</v>
      </c>
      <c r="E465" s="115"/>
      <c r="F465" s="765" t="s">
        <v>777</v>
      </c>
      <c r="G465" s="767">
        <v>52.5</v>
      </c>
      <c r="H465" s="72">
        <v>2012</v>
      </c>
      <c r="I465" s="321">
        <v>417.9</v>
      </c>
      <c r="J465" s="109">
        <f t="shared" si="42"/>
        <v>100</v>
      </c>
      <c r="K465" s="109">
        <f t="shared" si="43"/>
        <v>0</v>
      </c>
      <c r="L465" s="296"/>
      <c r="M465" s="109"/>
      <c r="N465" s="76">
        <f t="shared" si="44"/>
        <v>0</v>
      </c>
      <c r="O465" s="109"/>
      <c r="P465" s="109"/>
      <c r="Q465" s="76"/>
    </row>
    <row r="466" spans="3:17" ht="14.25">
      <c r="C466" s="142"/>
      <c r="D466" s="765" t="s">
        <v>805</v>
      </c>
      <c r="E466" s="115"/>
      <c r="F466" s="109" t="s">
        <v>686</v>
      </c>
      <c r="G466" s="72">
        <v>1</v>
      </c>
      <c r="H466" s="72">
        <v>2012</v>
      </c>
      <c r="I466" s="72">
        <v>840</v>
      </c>
      <c r="J466" s="109">
        <f t="shared" si="42"/>
        <v>100</v>
      </c>
      <c r="K466" s="109">
        <f t="shared" si="43"/>
        <v>0</v>
      </c>
      <c r="L466" s="296"/>
      <c r="M466" s="109"/>
      <c r="N466" s="76">
        <f t="shared" si="44"/>
        <v>0</v>
      </c>
      <c r="O466" s="109"/>
      <c r="P466" s="109"/>
      <c r="Q466" s="76"/>
    </row>
    <row r="467" spans="3:17" ht="14.25">
      <c r="C467" s="142"/>
      <c r="D467" s="779" t="s">
        <v>775</v>
      </c>
      <c r="E467" s="115"/>
      <c r="F467" s="109" t="s">
        <v>686</v>
      </c>
      <c r="G467" s="72">
        <v>29</v>
      </c>
      <c r="H467" s="72">
        <v>2016</v>
      </c>
      <c r="I467" s="72">
        <v>522</v>
      </c>
      <c r="J467" s="109">
        <f t="shared" si="42"/>
        <v>87.5</v>
      </c>
      <c r="K467" s="109">
        <f t="shared" si="43"/>
        <v>65.25</v>
      </c>
      <c r="L467" s="296"/>
      <c r="M467" s="109"/>
      <c r="N467" s="76">
        <f t="shared" si="44"/>
        <v>0</v>
      </c>
      <c r="O467" s="109"/>
      <c r="P467" s="109"/>
      <c r="Q467" s="76">
        <f>+O467*P467</f>
        <v>0</v>
      </c>
    </row>
    <row r="468" spans="3:17" ht="14.25">
      <c r="C468" s="142"/>
      <c r="D468" s="778" t="s">
        <v>774</v>
      </c>
      <c r="E468" s="115"/>
      <c r="F468" s="109" t="s">
        <v>686</v>
      </c>
      <c r="G468" s="72">
        <v>1</v>
      </c>
      <c r="H468" s="72">
        <v>2020</v>
      </c>
      <c r="I468" s="72">
        <v>160</v>
      </c>
      <c r="J468" s="109">
        <f t="shared" si="42"/>
        <v>37.5</v>
      </c>
      <c r="K468" s="109">
        <f t="shared" si="43"/>
        <v>100</v>
      </c>
      <c r="L468" s="296"/>
      <c r="M468" s="109"/>
      <c r="N468" s="76">
        <f t="shared" si="44"/>
        <v>0</v>
      </c>
      <c r="O468" s="109"/>
      <c r="P468" s="109"/>
      <c r="Q468" s="76">
        <f>+O468*P468</f>
        <v>0</v>
      </c>
    </row>
    <row r="469" spans="3:17" ht="14.25">
      <c r="C469" s="142"/>
      <c r="D469" s="778"/>
      <c r="E469" s="799"/>
      <c r="F469" s="109"/>
      <c r="G469" s="72"/>
      <c r="H469" s="72"/>
      <c r="I469" s="72"/>
      <c r="J469" s="109"/>
      <c r="K469" s="109"/>
      <c r="L469" s="296"/>
      <c r="M469" s="109"/>
      <c r="N469" s="76"/>
      <c r="O469" s="109"/>
      <c r="P469" s="109"/>
      <c r="Q469" s="76"/>
    </row>
    <row r="470" spans="3:17" ht="14.25">
      <c r="C470" s="142"/>
      <c r="D470" s="109" t="s">
        <v>1123</v>
      </c>
      <c r="E470" s="799"/>
      <c r="F470" s="109" t="s">
        <v>686</v>
      </c>
      <c r="G470" s="72"/>
      <c r="H470" s="72"/>
      <c r="I470" s="72"/>
      <c r="J470" s="109"/>
      <c r="K470" s="109"/>
      <c r="L470" s="296">
        <v>1</v>
      </c>
      <c r="M470" s="109">
        <v>700.5</v>
      </c>
      <c r="N470" s="76">
        <f aca="true" t="shared" si="45" ref="N470:N481">+L470*M470</f>
        <v>700.5</v>
      </c>
      <c r="O470" s="109"/>
      <c r="P470" s="109"/>
      <c r="Q470" s="76"/>
    </row>
    <row r="471" spans="3:17" ht="14.25">
      <c r="C471" s="142"/>
      <c r="D471" s="109" t="s">
        <v>1124</v>
      </c>
      <c r="E471" s="799"/>
      <c r="F471" s="109" t="s">
        <v>686</v>
      </c>
      <c r="G471" s="72"/>
      <c r="H471" s="72"/>
      <c r="I471" s="72"/>
      <c r="J471" s="109"/>
      <c r="K471" s="109"/>
      <c r="L471" s="296">
        <v>1</v>
      </c>
      <c r="M471" s="109">
        <v>59</v>
      </c>
      <c r="N471" s="76">
        <f t="shared" si="45"/>
        <v>59</v>
      </c>
      <c r="O471" s="109"/>
      <c r="P471" s="109"/>
      <c r="Q471" s="76"/>
    </row>
    <row r="472" spans="3:17" ht="14.25">
      <c r="C472" s="142"/>
      <c r="D472" s="109" t="s">
        <v>1125</v>
      </c>
      <c r="E472" s="799"/>
      <c r="F472" s="109" t="s">
        <v>686</v>
      </c>
      <c r="G472" s="72"/>
      <c r="H472" s="72"/>
      <c r="I472" s="72"/>
      <c r="J472" s="109"/>
      <c r="K472" s="109"/>
      <c r="L472" s="296">
        <v>1</v>
      </c>
      <c r="M472" s="109">
        <v>133.5</v>
      </c>
      <c r="N472" s="76">
        <f t="shared" si="45"/>
        <v>133.5</v>
      </c>
      <c r="O472" s="109"/>
      <c r="P472" s="109"/>
      <c r="Q472" s="76"/>
    </row>
    <row r="473" spans="3:17" ht="14.25">
      <c r="C473" s="142"/>
      <c r="D473" s="11" t="s">
        <v>1126</v>
      </c>
      <c r="E473" s="799"/>
      <c r="F473" s="109" t="s">
        <v>686</v>
      </c>
      <c r="G473" s="72"/>
      <c r="H473" s="72"/>
      <c r="I473" s="72"/>
      <c r="J473" s="109"/>
      <c r="K473" s="109"/>
      <c r="L473" s="296">
        <v>2</v>
      </c>
      <c r="M473" s="109">
        <v>42</v>
      </c>
      <c r="N473" s="76">
        <f t="shared" si="45"/>
        <v>84</v>
      </c>
      <c r="O473" s="109"/>
      <c r="P473" s="109"/>
      <c r="Q473" s="76"/>
    </row>
    <row r="474" spans="3:17" ht="14.25">
      <c r="C474" s="142"/>
      <c r="D474" s="109" t="s">
        <v>1127</v>
      </c>
      <c r="E474" s="799"/>
      <c r="F474" s="109" t="s">
        <v>686</v>
      </c>
      <c r="G474" s="72"/>
      <c r="H474" s="72"/>
      <c r="I474" s="72"/>
      <c r="J474" s="109"/>
      <c r="K474" s="109"/>
      <c r="L474" s="296">
        <v>3</v>
      </c>
      <c r="M474" s="109">
        <v>26</v>
      </c>
      <c r="N474" s="76">
        <f t="shared" si="45"/>
        <v>78</v>
      </c>
      <c r="O474" s="109"/>
      <c r="P474" s="109"/>
      <c r="Q474" s="76"/>
    </row>
    <row r="475" spans="3:17" ht="14.25">
      <c r="C475" s="142"/>
      <c r="D475" s="109" t="s">
        <v>1128</v>
      </c>
      <c r="E475" s="799"/>
      <c r="F475" s="109" t="s">
        <v>686</v>
      </c>
      <c r="G475" s="72"/>
      <c r="H475" s="72"/>
      <c r="I475" s="72"/>
      <c r="J475" s="109"/>
      <c r="K475" s="109"/>
      <c r="L475" s="296">
        <v>3</v>
      </c>
      <c r="M475" s="109">
        <v>18</v>
      </c>
      <c r="N475" s="76">
        <f t="shared" si="45"/>
        <v>54</v>
      </c>
      <c r="O475" s="109"/>
      <c r="P475" s="109"/>
      <c r="Q475" s="76"/>
    </row>
    <row r="476" spans="3:17" ht="14.25">
      <c r="C476" s="142"/>
      <c r="D476" s="109" t="s">
        <v>1129</v>
      </c>
      <c r="E476" s="799"/>
      <c r="F476" s="109" t="s">
        <v>686</v>
      </c>
      <c r="G476" s="72"/>
      <c r="H476" s="72"/>
      <c r="I476" s="72"/>
      <c r="J476" s="109"/>
      <c r="K476" s="109"/>
      <c r="L476" s="296">
        <v>1</v>
      </c>
      <c r="M476" s="109">
        <v>58</v>
      </c>
      <c r="N476" s="76">
        <f t="shared" si="45"/>
        <v>58</v>
      </c>
      <c r="O476" s="109"/>
      <c r="P476" s="109"/>
      <c r="Q476" s="76"/>
    </row>
    <row r="477" spans="3:17" ht="14.25">
      <c r="C477" s="142"/>
      <c r="D477" s="109" t="s">
        <v>1130</v>
      </c>
      <c r="E477" s="799"/>
      <c r="F477" s="109" t="s">
        <v>686</v>
      </c>
      <c r="G477" s="72"/>
      <c r="H477" s="72"/>
      <c r="I477" s="72"/>
      <c r="J477" s="109"/>
      <c r="K477" s="109"/>
      <c r="L477" s="296">
        <v>2</v>
      </c>
      <c r="M477" s="109">
        <v>45</v>
      </c>
      <c r="N477" s="76">
        <f t="shared" si="45"/>
        <v>90</v>
      </c>
      <c r="O477" s="109"/>
      <c r="P477" s="109"/>
      <c r="Q477" s="76"/>
    </row>
    <row r="478" spans="3:17" ht="14.25">
      <c r="C478" s="142"/>
      <c r="D478" s="109" t="s">
        <v>1131</v>
      </c>
      <c r="E478" s="799"/>
      <c r="F478" s="109" t="s">
        <v>686</v>
      </c>
      <c r="G478" s="72"/>
      <c r="H478" s="72"/>
      <c r="I478" s="72"/>
      <c r="J478" s="109"/>
      <c r="K478" s="109"/>
      <c r="L478" s="296">
        <v>1</v>
      </c>
      <c r="M478" s="109">
        <v>395</v>
      </c>
      <c r="N478" s="76">
        <f t="shared" si="45"/>
        <v>395</v>
      </c>
      <c r="O478" s="109"/>
      <c r="P478" s="109"/>
      <c r="Q478" s="76"/>
    </row>
    <row r="479" spans="3:17" ht="14.25">
      <c r="C479" s="142"/>
      <c r="D479" s="109" t="s">
        <v>1131</v>
      </c>
      <c r="E479" s="799"/>
      <c r="F479" s="109" t="s">
        <v>686</v>
      </c>
      <c r="G479" s="72"/>
      <c r="H479" s="72"/>
      <c r="I479" s="72"/>
      <c r="J479" s="109"/>
      <c r="K479" s="109"/>
      <c r="L479" s="296">
        <v>2</v>
      </c>
      <c r="M479" s="109">
        <v>393</v>
      </c>
      <c r="N479" s="76">
        <f t="shared" si="45"/>
        <v>786</v>
      </c>
      <c r="O479" s="109"/>
      <c r="P479" s="109"/>
      <c r="Q479" s="76"/>
    </row>
    <row r="480" spans="3:17" ht="14.25">
      <c r="C480" s="142"/>
      <c r="D480" s="109" t="s">
        <v>1132</v>
      </c>
      <c r="E480" s="799"/>
      <c r="F480" s="109" t="s">
        <v>686</v>
      </c>
      <c r="G480" s="72"/>
      <c r="H480" s="72"/>
      <c r="I480" s="72"/>
      <c r="J480" s="109"/>
      <c r="K480" s="109"/>
      <c r="L480" s="296">
        <v>1</v>
      </c>
      <c r="M480" s="109">
        <v>1500</v>
      </c>
      <c r="N480" s="76">
        <f t="shared" si="45"/>
        <v>1500</v>
      </c>
      <c r="O480" s="109"/>
      <c r="P480" s="109"/>
      <c r="Q480" s="76"/>
    </row>
    <row r="481" spans="3:17" ht="14.25">
      <c r="C481" s="142"/>
      <c r="D481" s="109" t="s">
        <v>1133</v>
      </c>
      <c r="E481" s="799"/>
      <c r="F481" s="109" t="s">
        <v>686</v>
      </c>
      <c r="G481" s="72"/>
      <c r="H481" s="72"/>
      <c r="I481" s="72"/>
      <c r="J481" s="109"/>
      <c r="K481" s="109"/>
      <c r="L481" s="296">
        <v>1</v>
      </c>
      <c r="M481" s="109">
        <v>155</v>
      </c>
      <c r="N481" s="76">
        <f t="shared" si="45"/>
        <v>155</v>
      </c>
      <c r="O481" s="109"/>
      <c r="P481" s="109"/>
      <c r="Q481" s="76"/>
    </row>
    <row r="482" spans="1:17" ht="32.25" customHeight="1">
      <c r="A482" s="724"/>
      <c r="B482" s="725"/>
      <c r="C482" s="711"/>
      <c r="D482" s="712" t="s">
        <v>360</v>
      </c>
      <c r="E482" s="713"/>
      <c r="F482" s="764" t="s">
        <v>1</v>
      </c>
      <c r="G482" s="715" t="s">
        <v>1</v>
      </c>
      <c r="H482" s="818" t="s">
        <v>1</v>
      </c>
      <c r="I482" s="818" t="s">
        <v>1</v>
      </c>
      <c r="J482" s="714" t="s">
        <v>1</v>
      </c>
      <c r="K482" s="714" t="s">
        <v>1</v>
      </c>
      <c r="L482" s="879" t="s">
        <v>1</v>
      </c>
      <c r="M482" s="714" t="s">
        <v>1</v>
      </c>
      <c r="N482" s="715">
        <f>+N279+N15</f>
        <v>5943</v>
      </c>
      <c r="O482" s="727" t="s">
        <v>1</v>
      </c>
      <c r="P482" s="714" t="s">
        <v>1</v>
      </c>
      <c r="Q482" s="715">
        <f>+Q279+Q15</f>
        <v>26969.7</v>
      </c>
    </row>
    <row r="483" ht="13.5">
      <c r="Q483" s="4"/>
    </row>
  </sheetData>
  <sheetProtection/>
  <mergeCells count="8">
    <mergeCell ref="O11:Q11"/>
    <mergeCell ref="J2:L2"/>
    <mergeCell ref="D4:H4"/>
    <mergeCell ref="C5:M5"/>
    <mergeCell ref="C7:M7"/>
    <mergeCell ref="G11:K11"/>
    <mergeCell ref="L11:N11"/>
    <mergeCell ref="C8:M8"/>
  </mergeCells>
  <printOptions/>
  <pageMargins left="0.7" right="0.7" top="0.75" bottom="0.75" header="0.3" footer="0.3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26"/>
  <sheetViews>
    <sheetView zoomScalePageLayoutView="0" workbookViewId="0" topLeftCell="A1">
      <selection activeCell="B4" sqref="B3:L4"/>
    </sheetView>
  </sheetViews>
  <sheetFormatPr defaultColWidth="9.140625" defaultRowHeight="12.75"/>
  <cols>
    <col min="1" max="1" width="3.57421875" style="226" bestFit="1" customWidth="1"/>
    <col min="2" max="2" width="25.421875" style="227" customWidth="1"/>
    <col min="3" max="3" width="11.57421875" style="227" customWidth="1"/>
    <col min="4" max="6" width="10.57421875" style="227" customWidth="1"/>
    <col min="7" max="7" width="13.140625" style="227" customWidth="1"/>
    <col min="8" max="9" width="10.57421875" style="227" customWidth="1"/>
    <col min="10" max="10" width="10.8515625" style="227" customWidth="1"/>
    <col min="11" max="11" width="9.140625" style="227" customWidth="1"/>
    <col min="12" max="12" width="10.140625" style="227" customWidth="1"/>
    <col min="13" max="14" width="10.8515625" style="227" customWidth="1"/>
    <col min="15" max="16384" width="9.140625" style="227" customWidth="1"/>
  </cols>
  <sheetData>
    <row r="1" spans="1:14" s="342" customFormat="1" ht="13.5">
      <c r="A1" s="340"/>
      <c r="B1" s="3"/>
      <c r="C1" s="3"/>
      <c r="D1" s="124"/>
      <c r="E1" s="124"/>
      <c r="F1" s="220"/>
      <c r="G1" s="220"/>
      <c r="H1" s="152"/>
      <c r="I1" s="152"/>
      <c r="J1" s="32"/>
      <c r="K1" s="137" t="s">
        <v>194</v>
      </c>
      <c r="L1" s="3"/>
      <c r="M1" s="32"/>
      <c r="N1" s="32"/>
    </row>
    <row r="2" spans="1:14" s="342" customFormat="1" ht="12.75" customHeight="1">
      <c r="A2" s="340"/>
      <c r="B2" s="3"/>
      <c r="C2" s="3"/>
      <c r="D2" s="124"/>
      <c r="E2" s="124"/>
      <c r="F2" s="220"/>
      <c r="G2" s="220"/>
      <c r="H2" s="152"/>
      <c r="I2" s="152"/>
      <c r="J2" s="902" t="s">
        <v>27</v>
      </c>
      <c r="K2" s="902"/>
      <c r="L2" s="902"/>
      <c r="M2" s="902"/>
      <c r="N2" s="902"/>
    </row>
    <row r="3" spans="1:14" s="33" customFormat="1" ht="14.25" thickBot="1">
      <c r="A3" s="32"/>
      <c r="B3" s="213"/>
      <c r="C3" s="213"/>
      <c r="D3" s="213"/>
      <c r="E3" s="213"/>
      <c r="F3" s="24"/>
      <c r="G3" s="24"/>
      <c r="H3" s="24"/>
      <c r="I3" s="24"/>
      <c r="J3" s="24"/>
      <c r="K3" s="343"/>
      <c r="L3" s="343"/>
      <c r="M3" s="24"/>
      <c r="N3" s="24"/>
    </row>
    <row r="4" spans="1:14" s="191" customFormat="1" ht="17.25" customHeight="1">
      <c r="A4" s="32"/>
      <c r="B4" s="884" t="s">
        <v>28</v>
      </c>
      <c r="C4" s="884"/>
      <c r="D4" s="884"/>
      <c r="E4" s="884"/>
      <c r="F4" s="190"/>
      <c r="G4" s="190"/>
      <c r="H4" s="43"/>
      <c r="I4" s="190"/>
      <c r="J4" s="190"/>
      <c r="K4" s="190"/>
      <c r="L4" s="190"/>
      <c r="M4" s="190"/>
      <c r="N4" s="190"/>
    </row>
    <row r="5" spans="1:12" s="342" customFormat="1" ht="39.75" customHeight="1">
      <c r="A5" s="947" t="s">
        <v>60</v>
      </c>
      <c r="B5" s="947"/>
      <c r="C5" s="947"/>
      <c r="D5" s="947"/>
      <c r="E5" s="947"/>
      <c r="F5" s="947"/>
      <c r="G5" s="947"/>
      <c r="H5" s="947"/>
      <c r="I5" s="947"/>
      <c r="J5" s="947"/>
      <c r="K5" s="947"/>
      <c r="L5" s="947"/>
    </row>
    <row r="6" spans="1:14" s="223" customFormat="1" ht="13.5" customHeight="1">
      <c r="A6" s="948" t="s">
        <v>115</v>
      </c>
      <c r="B6" s="950" t="s">
        <v>200</v>
      </c>
      <c r="C6" s="951" t="s">
        <v>201</v>
      </c>
      <c r="D6" s="948" t="s">
        <v>202</v>
      </c>
      <c r="E6" s="945" t="s">
        <v>203</v>
      </c>
      <c r="F6" s="945" t="s">
        <v>204</v>
      </c>
      <c r="G6" s="949" t="s">
        <v>207</v>
      </c>
      <c r="H6" s="949"/>
      <c r="I6" s="945" t="s">
        <v>208</v>
      </c>
      <c r="J6" s="945" t="s">
        <v>472</v>
      </c>
      <c r="K6" s="945" t="s">
        <v>517</v>
      </c>
      <c r="L6" s="945" t="s">
        <v>209</v>
      </c>
      <c r="M6" s="945" t="s">
        <v>473</v>
      </c>
      <c r="N6" s="945" t="s">
        <v>518</v>
      </c>
    </row>
    <row r="7" spans="1:14" s="223" customFormat="1" ht="61.5" customHeight="1">
      <c r="A7" s="948"/>
      <c r="B7" s="950"/>
      <c r="C7" s="952"/>
      <c r="D7" s="948"/>
      <c r="E7" s="946"/>
      <c r="F7" s="946"/>
      <c r="G7" s="119" t="s">
        <v>205</v>
      </c>
      <c r="H7" s="119" t="s">
        <v>206</v>
      </c>
      <c r="I7" s="946"/>
      <c r="J7" s="946"/>
      <c r="K7" s="946"/>
      <c r="L7" s="946"/>
      <c r="M7" s="946"/>
      <c r="N7" s="946"/>
    </row>
    <row r="8" spans="1:14" s="223" customFormat="1" ht="13.5">
      <c r="A8" s="119">
        <v>1</v>
      </c>
      <c r="B8" s="222">
        <v>2</v>
      </c>
      <c r="C8" s="224">
        <v>3</v>
      </c>
      <c r="D8" s="119">
        <v>4</v>
      </c>
      <c r="E8" s="222">
        <v>5</v>
      </c>
      <c r="F8" s="224">
        <v>6</v>
      </c>
      <c r="G8" s="119">
        <v>7</v>
      </c>
      <c r="H8" s="222">
        <v>8</v>
      </c>
      <c r="I8" s="224">
        <v>9</v>
      </c>
      <c r="J8" s="119">
        <v>10</v>
      </c>
      <c r="K8" s="222">
        <v>11</v>
      </c>
      <c r="L8" s="224">
        <v>12</v>
      </c>
      <c r="M8" s="222">
        <v>13</v>
      </c>
      <c r="N8" s="224">
        <v>14</v>
      </c>
    </row>
    <row r="9" spans="1:14" s="5" customFormat="1" ht="13.5">
      <c r="A9" s="72">
        <v>1</v>
      </c>
      <c r="B9" s="109"/>
      <c r="C9" s="112"/>
      <c r="D9" s="76"/>
      <c r="E9" s="76"/>
      <c r="F9" s="76"/>
      <c r="G9" s="225"/>
      <c r="H9" s="76">
        <f>C9*E9*F9</f>
        <v>0</v>
      </c>
      <c r="I9" s="225">
        <f>D9+G9</f>
        <v>0</v>
      </c>
      <c r="J9" s="76">
        <f>IF($I9=2022,$H9,0)</f>
        <v>0</v>
      </c>
      <c r="K9" s="76"/>
      <c r="L9" s="76">
        <f>J9-K9</f>
        <v>0</v>
      </c>
      <c r="M9" s="76">
        <f>IF($I9=2023,$H9,0)</f>
        <v>0</v>
      </c>
      <c r="N9" s="76">
        <f>IF($I9=2024,$H9,0)</f>
        <v>0</v>
      </c>
    </row>
    <row r="10" spans="1:14" s="5" customFormat="1" ht="13.5">
      <c r="A10" s="72">
        <v>2</v>
      </c>
      <c r="B10" s="109"/>
      <c r="C10" s="112"/>
      <c r="D10" s="76"/>
      <c r="E10" s="76"/>
      <c r="F10" s="76"/>
      <c r="G10" s="225"/>
      <c r="H10" s="76">
        <f>C10*E10*F10</f>
        <v>0</v>
      </c>
      <c r="I10" s="225">
        <f>D10+G10</f>
        <v>0</v>
      </c>
      <c r="J10" s="76">
        <f aca="true" t="shared" si="0" ref="J10:J22">IF($I10=2022,$H10,0)</f>
        <v>0</v>
      </c>
      <c r="K10" s="76"/>
      <c r="L10" s="76">
        <f aca="true" t="shared" si="1" ref="L10:L22">J10-K10</f>
        <v>0</v>
      </c>
      <c r="M10" s="76">
        <f aca="true" t="shared" si="2" ref="M10:M22">IF($I10=2023,$H10,0)</f>
        <v>0</v>
      </c>
      <c r="N10" s="76">
        <f aca="true" t="shared" si="3" ref="N10:N22">IF($I10=2024,$H10,0)</f>
        <v>0</v>
      </c>
    </row>
    <row r="11" spans="1:14" s="5" customFormat="1" ht="13.5">
      <c r="A11" s="72">
        <v>3</v>
      </c>
      <c r="B11" s="109"/>
      <c r="C11" s="112"/>
      <c r="D11" s="76"/>
      <c r="E11" s="76"/>
      <c r="F11" s="76"/>
      <c r="G11" s="76"/>
      <c r="H11" s="76">
        <f>C11*E11*F11</f>
        <v>0</v>
      </c>
      <c r="I11" s="225">
        <f>D11+G11</f>
        <v>0</v>
      </c>
      <c r="J11" s="76">
        <f t="shared" si="0"/>
        <v>0</v>
      </c>
      <c r="K11" s="76"/>
      <c r="L11" s="76">
        <f t="shared" si="1"/>
        <v>0</v>
      </c>
      <c r="M11" s="76">
        <f t="shared" si="2"/>
        <v>0</v>
      </c>
      <c r="N11" s="76">
        <f t="shared" si="3"/>
        <v>0</v>
      </c>
    </row>
    <row r="12" spans="1:14" s="5" customFormat="1" ht="13.5">
      <c r="A12" s="72"/>
      <c r="B12" s="109"/>
      <c r="C12" s="112"/>
      <c r="D12" s="76"/>
      <c r="E12" s="76"/>
      <c r="F12" s="76"/>
      <c r="G12" s="76"/>
      <c r="H12" s="76">
        <f aca="true" t="shared" si="4" ref="H12:H22">C12*E12*F12</f>
        <v>0</v>
      </c>
      <c r="I12" s="225">
        <f aca="true" t="shared" si="5" ref="I12:I22">D12+G12</f>
        <v>0</v>
      </c>
      <c r="J12" s="76">
        <f t="shared" si="0"/>
        <v>0</v>
      </c>
      <c r="K12" s="76"/>
      <c r="L12" s="76">
        <f t="shared" si="1"/>
        <v>0</v>
      </c>
      <c r="M12" s="76">
        <f t="shared" si="2"/>
        <v>0</v>
      </c>
      <c r="N12" s="76">
        <f t="shared" si="3"/>
        <v>0</v>
      </c>
    </row>
    <row r="13" spans="1:14" s="5" customFormat="1" ht="13.5">
      <c r="A13" s="72"/>
      <c r="B13" s="109"/>
      <c r="C13" s="112"/>
      <c r="D13" s="76"/>
      <c r="E13" s="76"/>
      <c r="F13" s="76"/>
      <c r="G13" s="76"/>
      <c r="H13" s="76">
        <f t="shared" si="4"/>
        <v>0</v>
      </c>
      <c r="I13" s="225">
        <f t="shared" si="5"/>
        <v>0</v>
      </c>
      <c r="J13" s="76">
        <f t="shared" si="0"/>
        <v>0</v>
      </c>
      <c r="K13" s="76"/>
      <c r="L13" s="76">
        <f t="shared" si="1"/>
        <v>0</v>
      </c>
      <c r="M13" s="76">
        <f t="shared" si="2"/>
        <v>0</v>
      </c>
      <c r="N13" s="76">
        <f t="shared" si="3"/>
        <v>0</v>
      </c>
    </row>
    <row r="14" spans="1:14" s="5" customFormat="1" ht="13.5">
      <c r="A14" s="72"/>
      <c r="B14" s="109"/>
      <c r="C14" s="112"/>
      <c r="D14" s="76"/>
      <c r="E14" s="76"/>
      <c r="F14" s="76"/>
      <c r="G14" s="76"/>
      <c r="H14" s="76">
        <f t="shared" si="4"/>
        <v>0</v>
      </c>
      <c r="I14" s="225">
        <f t="shared" si="5"/>
        <v>0</v>
      </c>
      <c r="J14" s="76">
        <f t="shared" si="0"/>
        <v>0</v>
      </c>
      <c r="K14" s="76"/>
      <c r="L14" s="76">
        <f t="shared" si="1"/>
        <v>0</v>
      </c>
      <c r="M14" s="76">
        <f t="shared" si="2"/>
        <v>0</v>
      </c>
      <c r="N14" s="76">
        <f t="shared" si="3"/>
        <v>0</v>
      </c>
    </row>
    <row r="15" spans="1:14" s="5" customFormat="1" ht="13.5">
      <c r="A15" s="72"/>
      <c r="B15" s="109"/>
      <c r="C15" s="112"/>
      <c r="D15" s="76"/>
      <c r="E15" s="76"/>
      <c r="F15" s="76"/>
      <c r="G15" s="76"/>
      <c r="H15" s="76">
        <f t="shared" si="4"/>
        <v>0</v>
      </c>
      <c r="I15" s="225">
        <f t="shared" si="5"/>
        <v>0</v>
      </c>
      <c r="J15" s="76">
        <f t="shared" si="0"/>
        <v>0</v>
      </c>
      <c r="K15" s="76"/>
      <c r="L15" s="76">
        <f t="shared" si="1"/>
        <v>0</v>
      </c>
      <c r="M15" s="76">
        <f t="shared" si="2"/>
        <v>0</v>
      </c>
      <c r="N15" s="76">
        <f t="shared" si="3"/>
        <v>0</v>
      </c>
    </row>
    <row r="16" spans="1:14" s="5" customFormat="1" ht="13.5">
      <c r="A16" s="72"/>
      <c r="B16" s="109"/>
      <c r="C16" s="112"/>
      <c r="D16" s="76"/>
      <c r="E16" s="76"/>
      <c r="F16" s="76"/>
      <c r="G16" s="76"/>
      <c r="H16" s="76">
        <f t="shared" si="4"/>
        <v>0</v>
      </c>
      <c r="I16" s="225">
        <f t="shared" si="5"/>
        <v>0</v>
      </c>
      <c r="J16" s="76">
        <f t="shared" si="0"/>
        <v>0</v>
      </c>
      <c r="K16" s="76"/>
      <c r="L16" s="76">
        <f t="shared" si="1"/>
        <v>0</v>
      </c>
      <c r="M16" s="76">
        <f t="shared" si="2"/>
        <v>0</v>
      </c>
      <c r="N16" s="76">
        <f t="shared" si="3"/>
        <v>0</v>
      </c>
    </row>
    <row r="17" spans="1:14" s="5" customFormat="1" ht="13.5">
      <c r="A17" s="72"/>
      <c r="B17" s="109"/>
      <c r="C17" s="112"/>
      <c r="D17" s="76"/>
      <c r="E17" s="76"/>
      <c r="F17" s="76"/>
      <c r="G17" s="76"/>
      <c r="H17" s="76">
        <f t="shared" si="4"/>
        <v>0</v>
      </c>
      <c r="I17" s="225">
        <f t="shared" si="5"/>
        <v>0</v>
      </c>
      <c r="J17" s="76">
        <f t="shared" si="0"/>
        <v>0</v>
      </c>
      <c r="K17" s="76"/>
      <c r="L17" s="76">
        <f t="shared" si="1"/>
        <v>0</v>
      </c>
      <c r="M17" s="76">
        <f t="shared" si="2"/>
        <v>0</v>
      </c>
      <c r="N17" s="76">
        <f t="shared" si="3"/>
        <v>0</v>
      </c>
    </row>
    <row r="18" spans="1:14" s="5" customFormat="1" ht="13.5">
      <c r="A18" s="72"/>
      <c r="B18" s="109"/>
      <c r="C18" s="112"/>
      <c r="D18" s="76"/>
      <c r="E18" s="76"/>
      <c r="F18" s="76"/>
      <c r="G18" s="76"/>
      <c r="H18" s="76">
        <f t="shared" si="4"/>
        <v>0</v>
      </c>
      <c r="I18" s="225">
        <f t="shared" si="5"/>
        <v>0</v>
      </c>
      <c r="J18" s="76">
        <f t="shared" si="0"/>
        <v>0</v>
      </c>
      <c r="K18" s="76"/>
      <c r="L18" s="76">
        <f t="shared" si="1"/>
        <v>0</v>
      </c>
      <c r="M18" s="76">
        <f t="shared" si="2"/>
        <v>0</v>
      </c>
      <c r="N18" s="76">
        <f t="shared" si="3"/>
        <v>0</v>
      </c>
    </row>
    <row r="19" spans="1:14" s="5" customFormat="1" ht="13.5">
      <c r="A19" s="72"/>
      <c r="B19" s="109"/>
      <c r="C19" s="112"/>
      <c r="D19" s="76"/>
      <c r="E19" s="76"/>
      <c r="F19" s="76"/>
      <c r="G19" s="76"/>
      <c r="H19" s="76">
        <f t="shared" si="4"/>
        <v>0</v>
      </c>
      <c r="I19" s="225">
        <f t="shared" si="5"/>
        <v>0</v>
      </c>
      <c r="J19" s="76">
        <f t="shared" si="0"/>
        <v>0</v>
      </c>
      <c r="K19" s="76"/>
      <c r="L19" s="76">
        <f t="shared" si="1"/>
        <v>0</v>
      </c>
      <c r="M19" s="76">
        <f t="shared" si="2"/>
        <v>0</v>
      </c>
      <c r="N19" s="76">
        <f t="shared" si="3"/>
        <v>0</v>
      </c>
    </row>
    <row r="20" spans="1:14" s="5" customFormat="1" ht="13.5">
      <c r="A20" s="72"/>
      <c r="B20" s="109"/>
      <c r="C20" s="112"/>
      <c r="D20" s="76"/>
      <c r="E20" s="76"/>
      <c r="F20" s="76"/>
      <c r="G20" s="76"/>
      <c r="H20" s="76">
        <f t="shared" si="4"/>
        <v>0</v>
      </c>
      <c r="I20" s="225">
        <f t="shared" si="5"/>
        <v>0</v>
      </c>
      <c r="J20" s="76">
        <f t="shared" si="0"/>
        <v>0</v>
      </c>
      <c r="K20" s="76"/>
      <c r="L20" s="76">
        <f t="shared" si="1"/>
        <v>0</v>
      </c>
      <c r="M20" s="76">
        <f t="shared" si="2"/>
        <v>0</v>
      </c>
      <c r="N20" s="76">
        <f t="shared" si="3"/>
        <v>0</v>
      </c>
    </row>
    <row r="21" spans="1:14" s="5" customFormat="1" ht="13.5">
      <c r="A21" s="72"/>
      <c r="B21" s="109"/>
      <c r="C21" s="112"/>
      <c r="D21" s="76"/>
      <c r="E21" s="76"/>
      <c r="F21" s="76"/>
      <c r="G21" s="76"/>
      <c r="H21" s="76">
        <f t="shared" si="4"/>
        <v>0</v>
      </c>
      <c r="I21" s="225">
        <f t="shared" si="5"/>
        <v>0</v>
      </c>
      <c r="J21" s="76">
        <f t="shared" si="0"/>
        <v>0</v>
      </c>
      <c r="K21" s="76"/>
      <c r="L21" s="76">
        <f t="shared" si="1"/>
        <v>0</v>
      </c>
      <c r="M21" s="76">
        <f t="shared" si="2"/>
        <v>0</v>
      </c>
      <c r="N21" s="76">
        <f t="shared" si="3"/>
        <v>0</v>
      </c>
    </row>
    <row r="22" spans="1:14" s="5" customFormat="1" ht="13.5">
      <c r="A22" s="72"/>
      <c r="B22" s="109"/>
      <c r="C22" s="112"/>
      <c r="D22" s="76"/>
      <c r="E22" s="76"/>
      <c r="F22" s="76"/>
      <c r="G22" s="76"/>
      <c r="H22" s="76">
        <f t="shared" si="4"/>
        <v>0</v>
      </c>
      <c r="I22" s="225">
        <f t="shared" si="5"/>
        <v>0</v>
      </c>
      <c r="J22" s="76">
        <f t="shared" si="0"/>
        <v>0</v>
      </c>
      <c r="K22" s="76"/>
      <c r="L22" s="76">
        <f t="shared" si="1"/>
        <v>0</v>
      </c>
      <c r="M22" s="76">
        <f t="shared" si="2"/>
        <v>0</v>
      </c>
      <c r="N22" s="76">
        <f t="shared" si="3"/>
        <v>0</v>
      </c>
    </row>
    <row r="23" spans="1:14" s="5" customFormat="1" ht="27">
      <c r="A23" s="72"/>
      <c r="B23" s="12" t="s">
        <v>210</v>
      </c>
      <c r="C23" s="82">
        <f>SUM(C9:C22)</f>
        <v>0</v>
      </c>
      <c r="D23" s="12" t="s">
        <v>1</v>
      </c>
      <c r="E23" s="12" t="s">
        <v>1</v>
      </c>
      <c r="F23" s="12" t="s">
        <v>1</v>
      </c>
      <c r="G23" s="12" t="s">
        <v>1</v>
      </c>
      <c r="H23" s="82">
        <f>SUM(H9:H22)</f>
        <v>0</v>
      </c>
      <c r="I23" s="12"/>
      <c r="J23" s="12">
        <f>SUM(J9:J22)</f>
        <v>0</v>
      </c>
      <c r="K23" s="12">
        <f>SUM(K9:K22)</f>
        <v>0</v>
      </c>
      <c r="L23" s="12">
        <f>SUM(L9:L22)</f>
        <v>0</v>
      </c>
      <c r="M23" s="12">
        <f>SUM(M9:M22)</f>
        <v>0</v>
      </c>
      <c r="N23" s="12">
        <f>SUM(N9:N22)</f>
        <v>0</v>
      </c>
    </row>
    <row r="24" s="5" customFormat="1" ht="13.5">
      <c r="A24" s="4"/>
    </row>
    <row r="26" spans="1:2" s="630" customFormat="1" ht="27" customHeight="1">
      <c r="A26" s="629"/>
      <c r="B26" s="630" t="s">
        <v>519</v>
      </c>
    </row>
  </sheetData>
  <sheetProtection/>
  <mergeCells count="17">
    <mergeCell ref="J2:L2"/>
    <mergeCell ref="M6:M7"/>
    <mergeCell ref="J6:J7"/>
    <mergeCell ref="B6:B7"/>
    <mergeCell ref="C6:C7"/>
    <mergeCell ref="D6:D7"/>
    <mergeCell ref="E6:E7"/>
    <mergeCell ref="N6:N7"/>
    <mergeCell ref="M2:N2"/>
    <mergeCell ref="K6:K7"/>
    <mergeCell ref="L6:L7"/>
    <mergeCell ref="A5:L5"/>
    <mergeCell ref="A6:A7"/>
    <mergeCell ref="B4:E4"/>
    <mergeCell ref="F6:F7"/>
    <mergeCell ref="G6:H6"/>
    <mergeCell ref="I6:I7"/>
  </mergeCells>
  <printOptions/>
  <pageMargins left="0.25" right="0.32" top="1" bottom="1" header="0.5" footer="0.5"/>
  <pageSetup horizontalDpi="600" verticalDpi="600" orientation="landscape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N28"/>
  <sheetViews>
    <sheetView zoomScalePageLayoutView="0" workbookViewId="0" topLeftCell="A13">
      <selection activeCell="B3" sqref="B3:D3"/>
    </sheetView>
  </sheetViews>
  <sheetFormatPr defaultColWidth="9.140625" defaultRowHeight="12.75"/>
  <cols>
    <col min="1" max="1" width="6.28125" style="226" customWidth="1"/>
    <col min="2" max="2" width="23.421875" style="227" customWidth="1"/>
    <col min="3" max="3" width="21.00390625" style="227" customWidth="1"/>
    <col min="4" max="4" width="16.00390625" style="227" customWidth="1"/>
    <col min="5" max="5" width="12.28125" style="227" customWidth="1"/>
    <col min="6" max="6" width="29.8515625" style="227" customWidth="1"/>
    <col min="7" max="7" width="25.28125" style="227" customWidth="1"/>
    <col min="8" max="10" width="16.140625" style="227" customWidth="1"/>
    <col min="11" max="11" width="12.140625" style="227" customWidth="1"/>
    <col min="12" max="12" width="26.8515625" style="227" customWidth="1"/>
    <col min="13" max="16384" width="9.140625" style="227" customWidth="1"/>
  </cols>
  <sheetData>
    <row r="1" spans="1:14" s="344" customFormat="1" ht="17.25">
      <c r="A1" s="228"/>
      <c r="B1" s="953" t="s">
        <v>406</v>
      </c>
      <c r="C1" s="953"/>
      <c r="D1" s="137"/>
      <c r="E1" s="32"/>
      <c r="G1" s="137"/>
      <c r="H1" s="137"/>
      <c r="I1" s="137"/>
      <c r="J1" s="137"/>
      <c r="K1" s="137"/>
      <c r="L1" s="137" t="s">
        <v>531</v>
      </c>
      <c r="M1" s="137"/>
      <c r="N1" s="3"/>
    </row>
    <row r="2" spans="1:14" s="344" customFormat="1" ht="17.25" customHeight="1">
      <c r="A2" s="228"/>
      <c r="D2" s="422"/>
      <c r="G2" s="422"/>
      <c r="H2" s="422"/>
      <c r="I2" s="422"/>
      <c r="J2" s="422"/>
      <c r="K2" s="422"/>
      <c r="L2" s="631" t="s">
        <v>27</v>
      </c>
      <c r="M2" s="631"/>
      <c r="N2" s="631"/>
    </row>
    <row r="3" spans="1:14" s="344" customFormat="1" ht="52.5" customHeight="1" thickBot="1">
      <c r="A3" s="228"/>
      <c r="B3" s="954" t="s">
        <v>1145</v>
      </c>
      <c r="C3" s="954"/>
      <c r="D3" s="954"/>
      <c r="E3" s="229"/>
      <c r="F3" s="229"/>
      <c r="G3" s="229"/>
      <c r="H3" s="229"/>
      <c r="I3" s="229"/>
      <c r="J3" s="229"/>
      <c r="K3" s="229"/>
      <c r="L3" s="24"/>
      <c r="M3" s="343"/>
      <c r="N3" s="343"/>
    </row>
    <row r="4" spans="1:12" s="345" customFormat="1" ht="27" customHeight="1">
      <c r="A4" s="228"/>
      <c r="B4" s="423" t="s">
        <v>28</v>
      </c>
      <c r="C4" s="423"/>
      <c r="D4" s="230"/>
      <c r="E4" s="230"/>
      <c r="F4" s="423"/>
      <c r="G4" s="230"/>
      <c r="H4" s="230"/>
      <c r="I4" s="230"/>
      <c r="J4" s="230"/>
      <c r="K4" s="230"/>
      <c r="L4" s="230"/>
    </row>
    <row r="5" spans="1:12" s="344" customFormat="1" ht="22.5" customHeight="1">
      <c r="A5" s="513" t="s">
        <v>332</v>
      </c>
      <c r="B5" s="513"/>
      <c r="C5" s="513"/>
      <c r="D5" s="513"/>
      <c r="E5" s="513"/>
      <c r="F5" s="513"/>
      <c r="G5" s="513"/>
      <c r="H5" s="513"/>
      <c r="I5" s="513"/>
      <c r="J5" s="513"/>
      <c r="K5" s="513"/>
      <c r="L5" s="513"/>
    </row>
    <row r="6" spans="1:12" s="344" customFormat="1" ht="22.5" customHeight="1">
      <c r="A6" s="513" t="s">
        <v>358</v>
      </c>
      <c r="B6" s="513"/>
      <c r="C6" s="513"/>
      <c r="D6" s="513"/>
      <c r="E6" s="513"/>
      <c r="F6" s="513"/>
      <c r="G6" s="513"/>
      <c r="H6" s="513"/>
      <c r="I6" s="513"/>
      <c r="J6" s="513"/>
      <c r="K6" s="513"/>
      <c r="L6" s="513"/>
    </row>
    <row r="7" spans="1:12" s="345" customFormat="1" ht="17.25">
      <c r="A7" s="228"/>
      <c r="B7" s="230"/>
      <c r="C7" s="230"/>
      <c r="D7" s="230"/>
      <c r="E7" s="230"/>
      <c r="F7" s="230"/>
      <c r="G7" s="230"/>
      <c r="H7" s="230"/>
      <c r="I7" s="230"/>
      <c r="J7" s="230"/>
      <c r="K7" s="230"/>
      <c r="L7" s="230"/>
    </row>
    <row r="8" spans="1:12" s="231" customFormat="1" ht="17.25">
      <c r="A8" s="228"/>
      <c r="B8" s="230"/>
      <c r="C8" s="230"/>
      <c r="D8" s="230"/>
      <c r="E8" s="230"/>
      <c r="F8" s="230"/>
      <c r="G8" s="230"/>
      <c r="H8" s="230"/>
      <c r="I8" s="230"/>
      <c r="J8" s="230"/>
      <c r="K8" s="230"/>
      <c r="L8" s="230"/>
    </row>
    <row r="9" spans="1:12" s="231" customFormat="1" ht="17.25">
      <c r="A9" s="228"/>
      <c r="B9" s="953"/>
      <c r="C9" s="953"/>
      <c r="D9" s="482"/>
      <c r="E9" s="230"/>
      <c r="F9" s="230"/>
      <c r="G9" s="482"/>
      <c r="H9" s="482"/>
      <c r="I9" s="482"/>
      <c r="J9" s="482"/>
      <c r="K9" s="482"/>
      <c r="L9" s="482" t="s">
        <v>357</v>
      </c>
    </row>
    <row r="10" spans="1:12" s="231" customFormat="1" ht="17.25">
      <c r="A10" s="228"/>
      <c r="B10" s="230"/>
      <c r="C10" s="230"/>
      <c r="D10" s="482"/>
      <c r="E10" s="230"/>
      <c r="F10" s="230"/>
      <c r="G10" s="482"/>
      <c r="H10" s="482"/>
      <c r="I10" s="482"/>
      <c r="J10" s="482"/>
      <c r="K10" s="482"/>
      <c r="L10" s="482"/>
    </row>
    <row r="11" spans="1:12" s="191" customFormat="1" ht="132" customHeight="1">
      <c r="A11" s="232" t="s">
        <v>111</v>
      </c>
      <c r="B11" s="303" t="s">
        <v>363</v>
      </c>
      <c r="C11" s="303" t="s">
        <v>359</v>
      </c>
      <c r="D11" s="303" t="s">
        <v>361</v>
      </c>
      <c r="E11" s="303" t="s">
        <v>362</v>
      </c>
      <c r="F11" s="303" t="s">
        <v>388</v>
      </c>
      <c r="G11" s="303" t="s">
        <v>391</v>
      </c>
      <c r="H11" s="303" t="s">
        <v>392</v>
      </c>
      <c r="I11" s="303" t="s">
        <v>393</v>
      </c>
      <c r="J11" s="303" t="s">
        <v>394</v>
      </c>
      <c r="K11" s="303" t="s">
        <v>395</v>
      </c>
      <c r="L11" s="303" t="s">
        <v>454</v>
      </c>
    </row>
    <row r="12" spans="1:12" s="602" customFormat="1" ht="13.5">
      <c r="A12" s="235">
        <v>1</v>
      </c>
      <c r="B12" s="143">
        <v>2</v>
      </c>
      <c r="C12" s="143">
        <v>3</v>
      </c>
      <c r="D12" s="143">
        <v>4</v>
      </c>
      <c r="E12" s="143">
        <v>5</v>
      </c>
      <c r="F12" s="143">
        <v>6</v>
      </c>
      <c r="G12" s="143">
        <v>7</v>
      </c>
      <c r="H12" s="143">
        <v>7.1</v>
      </c>
      <c r="I12" s="143">
        <v>7.2</v>
      </c>
      <c r="J12" s="143">
        <v>7.3</v>
      </c>
      <c r="K12" s="143">
        <v>7.4</v>
      </c>
      <c r="L12" s="143">
        <v>8</v>
      </c>
    </row>
    <row r="13" spans="1:12" s="191" customFormat="1" ht="32.25" customHeight="1">
      <c r="A13" s="539"/>
      <c r="B13" s="540" t="s">
        <v>386</v>
      </c>
      <c r="C13" s="540"/>
      <c r="D13" s="540" t="s">
        <v>1</v>
      </c>
      <c r="E13" s="540">
        <f>SUM(E14:E17)</f>
        <v>0</v>
      </c>
      <c r="F13" s="540"/>
      <c r="G13" s="540"/>
      <c r="H13" s="540"/>
      <c r="I13" s="540"/>
      <c r="J13" s="540"/>
      <c r="K13" s="540"/>
      <c r="L13" s="540"/>
    </row>
    <row r="14" spans="1:12" ht="17.25">
      <c r="A14" s="233">
        <v>1</v>
      </c>
      <c r="B14" s="234"/>
      <c r="C14" s="234"/>
      <c r="D14" s="233" t="s">
        <v>1</v>
      </c>
      <c r="E14" s="234"/>
      <c r="F14" s="233"/>
      <c r="G14" s="233">
        <f>SUM(H14:K14)</f>
        <v>0</v>
      </c>
      <c r="H14" s="233"/>
      <c r="I14" s="233"/>
      <c r="J14" s="233"/>
      <c r="K14" s="233"/>
      <c r="L14" s="233"/>
    </row>
    <row r="15" spans="1:12" ht="17.25">
      <c r="A15" s="233">
        <v>2</v>
      </c>
      <c r="B15" s="234"/>
      <c r="C15" s="234"/>
      <c r="D15" s="233" t="s">
        <v>1</v>
      </c>
      <c r="E15" s="234"/>
      <c r="F15" s="233"/>
      <c r="G15" s="233">
        <f aca="true" t="shared" si="0" ref="G15:G22">SUM(H15:K15)</f>
        <v>0</v>
      </c>
      <c r="H15" s="233"/>
      <c r="I15" s="233"/>
      <c r="J15" s="233"/>
      <c r="K15" s="233"/>
      <c r="L15" s="233"/>
    </row>
    <row r="16" spans="1:12" ht="17.25">
      <c r="A16" s="233">
        <v>3</v>
      </c>
      <c r="B16" s="234"/>
      <c r="C16" s="234"/>
      <c r="D16" s="233" t="s">
        <v>1</v>
      </c>
      <c r="E16" s="234"/>
      <c r="F16" s="233"/>
      <c r="G16" s="233">
        <f t="shared" si="0"/>
        <v>0</v>
      </c>
      <c r="H16" s="233"/>
      <c r="I16" s="233"/>
      <c r="J16" s="233"/>
      <c r="K16" s="233"/>
      <c r="L16" s="233"/>
    </row>
    <row r="17" spans="1:12" ht="17.25">
      <c r="A17" s="233" t="s">
        <v>311</v>
      </c>
      <c r="B17" s="234"/>
      <c r="C17" s="234"/>
      <c r="D17" s="233" t="s">
        <v>1</v>
      </c>
      <c r="E17" s="234"/>
      <c r="F17" s="233"/>
      <c r="G17" s="233">
        <f t="shared" si="0"/>
        <v>0</v>
      </c>
      <c r="H17" s="233"/>
      <c r="I17" s="233"/>
      <c r="J17" s="233"/>
      <c r="K17" s="233"/>
      <c r="L17" s="233"/>
    </row>
    <row r="18" spans="1:12" s="191" customFormat="1" ht="32.25" customHeight="1">
      <c r="A18" s="539"/>
      <c r="B18" s="540" t="s">
        <v>387</v>
      </c>
      <c r="C18" s="540"/>
      <c r="D18" s="540" t="s">
        <v>1</v>
      </c>
      <c r="E18" s="540">
        <f>SUM(E19:E22)</f>
        <v>0</v>
      </c>
      <c r="F18" s="540"/>
      <c r="G18" s="540"/>
      <c r="H18" s="540"/>
      <c r="I18" s="540"/>
      <c r="J18" s="540"/>
      <c r="K18" s="540"/>
      <c r="L18" s="540"/>
    </row>
    <row r="19" spans="1:12" ht="17.25">
      <c r="A19" s="233">
        <v>1</v>
      </c>
      <c r="B19" s="234"/>
      <c r="C19" s="234"/>
      <c r="D19" s="233" t="s">
        <v>1</v>
      </c>
      <c r="E19" s="234"/>
      <c r="F19" s="233"/>
      <c r="G19" s="233">
        <f t="shared" si="0"/>
        <v>0</v>
      </c>
      <c r="H19" s="233"/>
      <c r="I19" s="233"/>
      <c r="J19" s="233"/>
      <c r="K19" s="233"/>
      <c r="L19" s="233"/>
    </row>
    <row r="20" spans="1:12" ht="17.25">
      <c r="A20" s="233">
        <v>2</v>
      </c>
      <c r="B20" s="234"/>
      <c r="C20" s="234"/>
      <c r="D20" s="233" t="s">
        <v>1</v>
      </c>
      <c r="E20" s="234"/>
      <c r="F20" s="233"/>
      <c r="G20" s="233">
        <f t="shared" si="0"/>
        <v>0</v>
      </c>
      <c r="H20" s="233"/>
      <c r="I20" s="233"/>
      <c r="J20" s="233"/>
      <c r="K20" s="233"/>
      <c r="L20" s="233"/>
    </row>
    <row r="21" spans="1:12" ht="17.25">
      <c r="A21" s="233">
        <v>3</v>
      </c>
      <c r="B21" s="234"/>
      <c r="C21" s="234"/>
      <c r="D21" s="233" t="s">
        <v>1</v>
      </c>
      <c r="E21" s="234"/>
      <c r="F21" s="233"/>
      <c r="G21" s="233">
        <f t="shared" si="0"/>
        <v>0</v>
      </c>
      <c r="H21" s="233"/>
      <c r="I21" s="233"/>
      <c r="J21" s="233"/>
      <c r="K21" s="233"/>
      <c r="L21" s="233"/>
    </row>
    <row r="22" spans="1:12" ht="17.25">
      <c r="A22" s="233" t="s">
        <v>311</v>
      </c>
      <c r="B22" s="234"/>
      <c r="C22" s="234"/>
      <c r="D22" s="233" t="s">
        <v>1</v>
      </c>
      <c r="E22" s="234"/>
      <c r="F22" s="233"/>
      <c r="G22" s="233">
        <f t="shared" si="0"/>
        <v>0</v>
      </c>
      <c r="H22" s="233"/>
      <c r="I22" s="233"/>
      <c r="J22" s="233"/>
      <c r="K22" s="233"/>
      <c r="L22" s="233"/>
    </row>
    <row r="23" spans="1:12" s="191" customFormat="1" ht="32.25" customHeight="1">
      <c r="A23" s="539"/>
      <c r="B23" s="540" t="s">
        <v>385</v>
      </c>
      <c r="C23" s="540"/>
      <c r="D23" s="540"/>
      <c r="E23" s="540">
        <f>SUM(E24:E27)</f>
        <v>44.8</v>
      </c>
      <c r="F23" s="540"/>
      <c r="G23" s="540"/>
      <c r="H23" s="540"/>
      <c r="I23" s="540"/>
      <c r="J23" s="540"/>
      <c r="K23" s="540"/>
      <c r="L23" s="540"/>
    </row>
    <row r="24" spans="1:12" ht="27">
      <c r="A24" s="233">
        <v>1</v>
      </c>
      <c r="B24" s="104" t="s">
        <v>1004</v>
      </c>
      <c r="C24" s="842" t="s">
        <v>1005</v>
      </c>
      <c r="D24" s="843">
        <v>222</v>
      </c>
      <c r="E24" s="844">
        <v>19</v>
      </c>
      <c r="F24" s="842" t="s">
        <v>1006</v>
      </c>
      <c r="G24" s="233">
        <f>SUM(H24:K24)</f>
        <v>0</v>
      </c>
      <c r="H24" s="233"/>
      <c r="I24" s="233"/>
      <c r="J24" s="233"/>
      <c r="K24" s="233"/>
      <c r="L24" s="842" t="s">
        <v>1009</v>
      </c>
    </row>
    <row r="25" spans="1:12" ht="40.5">
      <c r="A25" s="233">
        <v>2</v>
      </c>
      <c r="B25" s="104" t="s">
        <v>1007</v>
      </c>
      <c r="C25" s="842" t="s">
        <v>1008</v>
      </c>
      <c r="D25" s="843">
        <v>129</v>
      </c>
      <c r="E25" s="844">
        <v>25.8</v>
      </c>
      <c r="F25" s="842" t="s">
        <v>1006</v>
      </c>
      <c r="G25" s="233">
        <f>SUM(H25:K25)</f>
        <v>0</v>
      </c>
      <c r="H25" s="233"/>
      <c r="I25" s="233"/>
      <c r="J25" s="233"/>
      <c r="K25" s="233"/>
      <c r="L25" s="842" t="s">
        <v>1010</v>
      </c>
    </row>
    <row r="26" spans="1:12" ht="17.25">
      <c r="A26" s="233">
        <v>3</v>
      </c>
      <c r="B26" s="234"/>
      <c r="C26" s="234"/>
      <c r="D26" s="233"/>
      <c r="E26" s="234"/>
      <c r="F26" s="233"/>
      <c r="G26" s="233">
        <f>SUM(H26:K26)</f>
        <v>0</v>
      </c>
      <c r="H26" s="233"/>
      <c r="I26" s="233"/>
      <c r="J26" s="233"/>
      <c r="K26" s="233"/>
      <c r="L26" s="233"/>
    </row>
    <row r="27" spans="1:12" ht="17.25">
      <c r="A27" s="233" t="s">
        <v>311</v>
      </c>
      <c r="B27" s="234"/>
      <c r="C27" s="234"/>
      <c r="D27" s="233"/>
      <c r="E27" s="234"/>
      <c r="F27" s="233"/>
      <c r="G27" s="233">
        <f>SUM(H27:K27)</f>
        <v>0</v>
      </c>
      <c r="H27" s="233"/>
      <c r="I27" s="233"/>
      <c r="J27" s="233"/>
      <c r="K27" s="233"/>
      <c r="L27" s="233"/>
    </row>
    <row r="28" spans="1:12" s="191" customFormat="1" ht="32.25" customHeight="1">
      <c r="A28" s="539"/>
      <c r="B28" s="541" t="s">
        <v>360</v>
      </c>
      <c r="C28" s="540"/>
      <c r="D28" s="542">
        <f>SUM(D24:D27)</f>
        <v>351</v>
      </c>
      <c r="E28" s="540"/>
      <c r="F28" s="540"/>
      <c r="G28" s="540"/>
      <c r="H28" s="540"/>
      <c r="I28" s="540"/>
      <c r="J28" s="540"/>
      <c r="K28" s="540"/>
      <c r="L28" s="540"/>
    </row>
  </sheetData>
  <sheetProtection/>
  <mergeCells count="3">
    <mergeCell ref="B9:C9"/>
    <mergeCell ref="B1:C1"/>
    <mergeCell ref="B3:D3"/>
  </mergeCells>
  <printOptions/>
  <pageMargins left="0.35" right="0.35" top="0.29" bottom="0.37" header="0.21" footer="0.16"/>
  <pageSetup horizontalDpi="600" verticalDpi="600" orientation="landscape" paperSize="9" scale="6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6.28125" style="226" customWidth="1"/>
    <col min="2" max="2" width="36.00390625" style="227" customWidth="1"/>
    <col min="3" max="3" width="80.140625" style="227" customWidth="1"/>
    <col min="4" max="4" width="24.28125" style="227" customWidth="1"/>
    <col min="5" max="16384" width="9.140625" style="227" customWidth="1"/>
  </cols>
  <sheetData>
    <row r="1" spans="1:4" s="344" customFormat="1" ht="17.25">
      <c r="A1" s="228"/>
      <c r="B1" s="953"/>
      <c r="C1" s="953"/>
      <c r="D1" s="678" t="s">
        <v>199</v>
      </c>
    </row>
    <row r="2" spans="1:4" s="344" customFormat="1" ht="17.25" customHeight="1">
      <c r="A2" s="228"/>
      <c r="D2" s="688" t="s">
        <v>27</v>
      </c>
    </row>
    <row r="3" spans="1:3" s="344" customFormat="1" ht="18" thickBot="1">
      <c r="A3" s="228"/>
      <c r="B3" s="229"/>
      <c r="C3" s="229"/>
    </row>
    <row r="4" spans="1:3" s="345" customFormat="1" ht="27" customHeight="1">
      <c r="A4" s="228"/>
      <c r="B4" s="423" t="s">
        <v>28</v>
      </c>
      <c r="C4" s="423"/>
    </row>
    <row r="5" spans="1:3" s="344" customFormat="1" ht="22.5" customHeight="1">
      <c r="A5" s="513" t="s">
        <v>332</v>
      </c>
      <c r="B5" s="513"/>
      <c r="C5" s="513"/>
    </row>
    <row r="6" spans="1:3" s="344" customFormat="1" ht="22.5" customHeight="1">
      <c r="A6" s="513" t="s">
        <v>551</v>
      </c>
      <c r="B6" s="513"/>
      <c r="C6" s="513"/>
    </row>
    <row r="7" spans="1:3" s="345" customFormat="1" ht="17.25">
      <c r="A7" s="228"/>
      <c r="B7" s="230"/>
      <c r="C7" s="230"/>
    </row>
    <row r="8" spans="1:3" ht="54.75" customHeight="1">
      <c r="A8" s="389">
        <v>1</v>
      </c>
      <c r="B8" s="303" t="s">
        <v>546</v>
      </c>
      <c r="C8" s="650"/>
    </row>
    <row r="9" spans="1:3" ht="38.25" customHeight="1">
      <c r="A9" s="389">
        <v>2</v>
      </c>
      <c r="B9" s="303" t="s">
        <v>547</v>
      </c>
      <c r="C9" s="650"/>
    </row>
    <row r="10" spans="1:3" ht="51.75" customHeight="1">
      <c r="A10" s="389">
        <v>3</v>
      </c>
      <c r="B10" s="303" t="s">
        <v>548</v>
      </c>
      <c r="C10" s="650"/>
    </row>
    <row r="11" spans="1:3" ht="38.25" customHeight="1">
      <c r="A11" s="389">
        <v>4</v>
      </c>
      <c r="B11" s="303" t="s">
        <v>542</v>
      </c>
      <c r="C11" s="650"/>
    </row>
    <row r="12" spans="1:3" ht="47.25" customHeight="1">
      <c r="A12" s="389">
        <v>5</v>
      </c>
      <c r="B12" s="303" t="s">
        <v>549</v>
      </c>
      <c r="C12" s="650"/>
    </row>
    <row r="13" spans="1:3" ht="67.5" customHeight="1">
      <c r="A13" s="226" t="s">
        <v>6</v>
      </c>
      <c r="B13" s="651" t="s">
        <v>550</v>
      </c>
      <c r="C13" s="652"/>
    </row>
    <row r="14" spans="1:3" ht="34.5" customHeight="1">
      <c r="A14" s="647" t="s">
        <v>544</v>
      </c>
      <c r="B14" s="648"/>
      <c r="C14" s="649"/>
    </row>
    <row r="15" spans="1:3" ht="41.25">
      <c r="A15" s="647"/>
      <c r="B15" s="26" t="s">
        <v>543</v>
      </c>
      <c r="C15" s="119" t="s">
        <v>545</v>
      </c>
    </row>
    <row r="16" spans="1:3" ht="17.25">
      <c r="A16" s="233">
        <v>1</v>
      </c>
      <c r="B16" s="234"/>
      <c r="C16" s="234"/>
    </row>
    <row r="17" spans="1:3" ht="17.25">
      <c r="A17" s="233">
        <v>2</v>
      </c>
      <c r="B17" s="234"/>
      <c r="C17" s="234"/>
    </row>
    <row r="18" spans="1:3" ht="17.25">
      <c r="A18" s="233">
        <v>3</v>
      </c>
      <c r="B18" s="234"/>
      <c r="C18" s="234"/>
    </row>
    <row r="19" spans="1:3" ht="17.25">
      <c r="A19" s="233" t="s">
        <v>311</v>
      </c>
      <c r="B19" s="234"/>
      <c r="C19" s="234"/>
    </row>
    <row r="20" spans="1:3" s="191" customFormat="1" ht="32.25" customHeight="1">
      <c r="A20" s="539"/>
      <c r="B20" s="541" t="s">
        <v>360</v>
      </c>
      <c r="C20" s="540">
        <f>SUM(C16:C19)</f>
        <v>0</v>
      </c>
    </row>
  </sheetData>
  <sheetProtection/>
  <mergeCells count="1">
    <mergeCell ref="B1:C1"/>
  </mergeCells>
  <printOptions/>
  <pageMargins left="0.35" right="0.35" top="0.29" bottom="0.37" header="0.21" footer="0.16"/>
  <pageSetup horizontalDpi="600" verticalDpi="600" orientation="landscape" paperSize="9" scale="6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7">
      <selection activeCell="C23" sqref="C23"/>
    </sheetView>
  </sheetViews>
  <sheetFormatPr defaultColWidth="9.140625" defaultRowHeight="12.75"/>
  <cols>
    <col min="1" max="1" width="6.140625" style="5" customWidth="1"/>
    <col min="2" max="2" width="39.140625" style="5" customWidth="1"/>
    <col min="3" max="3" width="16.57421875" style="5" customWidth="1"/>
    <col min="4" max="4" width="18.421875" style="5" customWidth="1"/>
    <col min="5" max="5" width="19.7109375" style="5" customWidth="1"/>
    <col min="6" max="6" width="23.57421875" style="5" customWidth="1"/>
    <col min="7" max="7" width="12.421875" style="5" customWidth="1"/>
    <col min="8" max="8" width="26.7109375" style="5" customWidth="1"/>
    <col min="9" max="9" width="11.28125" style="5" customWidth="1"/>
    <col min="10" max="10" width="14.00390625" style="5" customWidth="1"/>
    <col min="11" max="11" width="10.7109375" style="5" customWidth="1"/>
    <col min="12" max="12" width="10.28125" style="5" customWidth="1"/>
    <col min="13" max="16384" width="9.140625" style="5" customWidth="1"/>
  </cols>
  <sheetData>
    <row r="1" ht="16.5" customHeight="1">
      <c r="F1" s="137" t="s">
        <v>355</v>
      </c>
    </row>
    <row r="2" ht="18.75" customHeight="1">
      <c r="F2" s="631" t="s">
        <v>27</v>
      </c>
    </row>
    <row r="6" spans="1:6" ht="30.75" customHeight="1">
      <c r="A6" s="955" t="s">
        <v>532</v>
      </c>
      <c r="B6" s="955"/>
      <c r="C6" s="955"/>
      <c r="D6" s="955"/>
      <c r="E6" s="955"/>
      <c r="F6" s="955"/>
    </row>
    <row r="7" spans="1:6" ht="38.25" customHeight="1">
      <c r="A7" s="955" t="s">
        <v>584</v>
      </c>
      <c r="B7" s="955"/>
      <c r="C7" s="955"/>
      <c r="D7" s="955"/>
      <c r="E7" s="955"/>
      <c r="F7" s="955"/>
    </row>
    <row r="8" spans="1:6" ht="21" customHeight="1">
      <c r="A8" s="633"/>
      <c r="B8" s="633"/>
      <c r="C8" s="633"/>
      <c r="D8" s="633"/>
      <c r="E8" s="633"/>
      <c r="F8" s="633"/>
    </row>
    <row r="9" spans="1:6" ht="23.25" customHeight="1">
      <c r="A9" s="633"/>
      <c r="B9" s="633"/>
      <c r="C9" s="633"/>
      <c r="D9" s="633"/>
      <c r="E9" s="633"/>
      <c r="F9" s="633"/>
    </row>
    <row r="10" spans="1:6" ht="19.5" customHeight="1">
      <c r="A10" s="919" t="s">
        <v>5</v>
      </c>
      <c r="B10" s="919" t="s">
        <v>541</v>
      </c>
      <c r="C10" s="921" t="s">
        <v>452</v>
      </c>
      <c r="D10" s="922"/>
      <c r="E10" s="922"/>
      <c r="F10" s="923"/>
    </row>
    <row r="11" spans="1:6" ht="61.5" customHeight="1">
      <c r="A11" s="920"/>
      <c r="B11" s="920"/>
      <c r="C11" s="632" t="s">
        <v>533</v>
      </c>
      <c r="D11" s="632" t="s">
        <v>540</v>
      </c>
      <c r="E11" s="632" t="s">
        <v>538</v>
      </c>
      <c r="F11" s="637" t="s">
        <v>534</v>
      </c>
    </row>
    <row r="12" spans="1:6" ht="18" customHeight="1">
      <c r="A12" s="636" t="s">
        <v>535</v>
      </c>
      <c r="B12" s="636">
        <v>1</v>
      </c>
      <c r="C12" s="636">
        <v>2</v>
      </c>
      <c r="D12" s="636">
        <v>3</v>
      </c>
      <c r="E12" s="636">
        <v>4</v>
      </c>
      <c r="F12" s="636">
        <v>5</v>
      </c>
    </row>
    <row r="13" spans="1:6" ht="50.25" customHeight="1">
      <c r="A13" s="638">
        <v>1</v>
      </c>
      <c r="B13" s="646" t="s">
        <v>1152</v>
      </c>
      <c r="C13" s="641">
        <v>58</v>
      </c>
      <c r="D13" s="641">
        <v>24</v>
      </c>
      <c r="E13" s="641">
        <v>229.16</v>
      </c>
      <c r="F13" s="642">
        <f>C13*D13*E13/1000</f>
        <v>318.99071999999995</v>
      </c>
    </row>
    <row r="14" spans="1:6" ht="50.25" customHeight="1">
      <c r="A14" s="638">
        <v>2</v>
      </c>
      <c r="B14" s="646" t="s">
        <v>1153</v>
      </c>
      <c r="C14" s="641">
        <v>15</v>
      </c>
      <c r="D14" s="641">
        <v>24</v>
      </c>
      <c r="E14" s="641">
        <v>229.16</v>
      </c>
      <c r="F14" s="642">
        <f>C14*D14*E14/1000</f>
        <v>82.4976</v>
      </c>
    </row>
    <row r="15" spans="1:6" ht="50.25" customHeight="1">
      <c r="A15" s="638">
        <v>3</v>
      </c>
      <c r="B15" s="646" t="s">
        <v>1154</v>
      </c>
      <c r="C15" s="641">
        <v>44</v>
      </c>
      <c r="D15" s="641">
        <v>24</v>
      </c>
      <c r="E15" s="641">
        <v>229.16</v>
      </c>
      <c r="F15" s="642">
        <f aca="true" t="shared" si="0" ref="F15:F21">C15*D15*E15/1000</f>
        <v>241.99295999999998</v>
      </c>
    </row>
    <row r="16" spans="1:6" ht="50.25" customHeight="1">
      <c r="A16" s="638">
        <v>4</v>
      </c>
      <c r="B16" s="646" t="s">
        <v>1155</v>
      </c>
      <c r="C16" s="641">
        <v>9</v>
      </c>
      <c r="D16" s="641">
        <v>24</v>
      </c>
      <c r="E16" s="641">
        <v>229.16</v>
      </c>
      <c r="F16" s="642">
        <f t="shared" si="0"/>
        <v>49.49856</v>
      </c>
    </row>
    <row r="17" spans="1:6" ht="50.25" customHeight="1">
      <c r="A17" s="638">
        <v>5</v>
      </c>
      <c r="B17" s="646" t="s">
        <v>1156</v>
      </c>
      <c r="C17" s="641">
        <v>10</v>
      </c>
      <c r="D17" s="641">
        <v>24</v>
      </c>
      <c r="E17" s="641">
        <v>229.16</v>
      </c>
      <c r="F17" s="642">
        <f t="shared" si="0"/>
        <v>54.998400000000004</v>
      </c>
    </row>
    <row r="18" spans="1:6" ht="50.25" customHeight="1">
      <c r="A18" s="638">
        <v>6</v>
      </c>
      <c r="B18" s="646" t="s">
        <v>1157</v>
      </c>
      <c r="C18" s="641">
        <v>2</v>
      </c>
      <c r="D18" s="641">
        <v>24</v>
      </c>
      <c r="E18" s="641">
        <v>229.16</v>
      </c>
      <c r="F18" s="642">
        <f t="shared" si="0"/>
        <v>10.99968</v>
      </c>
    </row>
    <row r="19" spans="1:6" ht="50.25" customHeight="1">
      <c r="A19" s="638">
        <v>7</v>
      </c>
      <c r="B19" s="646" t="s">
        <v>1158</v>
      </c>
      <c r="C19" s="641">
        <v>4</v>
      </c>
      <c r="D19" s="641">
        <v>24</v>
      </c>
      <c r="E19" s="641">
        <v>229.16</v>
      </c>
      <c r="F19" s="642">
        <f t="shared" si="0"/>
        <v>21.99936</v>
      </c>
    </row>
    <row r="20" spans="1:6" ht="50.25" customHeight="1">
      <c r="A20" s="638">
        <v>8</v>
      </c>
      <c r="B20" s="646" t="s">
        <v>1161</v>
      </c>
      <c r="C20" s="641">
        <v>8</v>
      </c>
      <c r="D20" s="641">
        <v>24</v>
      </c>
      <c r="E20" s="641">
        <v>229.16</v>
      </c>
      <c r="F20" s="642">
        <f t="shared" si="0"/>
        <v>43.99872</v>
      </c>
    </row>
    <row r="21" spans="1:6" ht="50.25" customHeight="1">
      <c r="A21" s="638">
        <v>9</v>
      </c>
      <c r="B21" s="646" t="s">
        <v>1159</v>
      </c>
      <c r="C21" s="641">
        <v>12</v>
      </c>
      <c r="D21" s="641">
        <v>24</v>
      </c>
      <c r="E21" s="641">
        <v>229.16</v>
      </c>
      <c r="F21" s="642">
        <f t="shared" si="0"/>
        <v>65.99808</v>
      </c>
    </row>
    <row r="22" spans="1:6" ht="50.25" customHeight="1">
      <c r="A22" s="638">
        <v>10</v>
      </c>
      <c r="B22" s="646" t="s">
        <v>1160</v>
      </c>
      <c r="C22" s="641">
        <v>2</v>
      </c>
      <c r="D22" s="641">
        <v>24</v>
      </c>
      <c r="E22" s="641">
        <v>229.16</v>
      </c>
      <c r="F22" s="642">
        <f>C22*D22*E22/1000</f>
        <v>10.99968</v>
      </c>
    </row>
    <row r="23" spans="1:6" ht="36.75" customHeight="1">
      <c r="A23" s="634"/>
      <c r="B23" s="635" t="s">
        <v>110</v>
      </c>
      <c r="C23" s="639">
        <f>SUM(C13:C22)</f>
        <v>164</v>
      </c>
      <c r="D23" s="639" t="s">
        <v>1</v>
      </c>
      <c r="E23" s="639" t="s">
        <v>1</v>
      </c>
      <c r="F23" s="639">
        <f>SUM(F13:F22)</f>
        <v>901.97376</v>
      </c>
    </row>
    <row r="26" ht="31.5" customHeight="1"/>
  </sheetData>
  <sheetProtection/>
  <mergeCells count="5">
    <mergeCell ref="A6:F6"/>
    <mergeCell ref="A7:F7"/>
    <mergeCell ref="A10:A11"/>
    <mergeCell ref="B10:B11"/>
    <mergeCell ref="C10:F10"/>
  </mergeCells>
  <printOptions/>
  <pageMargins left="0.35" right="0.35" top="0.29" bottom="0.37" header="0.21" footer="0.16"/>
  <pageSetup horizontalDpi="600" verticalDpi="600" orientation="landscape" paperSize="9" scale="6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65"/>
  <sheetViews>
    <sheetView zoomScalePageLayoutView="0" workbookViewId="0" topLeftCell="A16">
      <selection activeCell="A5" sqref="A5:C5"/>
    </sheetView>
  </sheetViews>
  <sheetFormatPr defaultColWidth="9.140625" defaultRowHeight="12.75"/>
  <cols>
    <col min="1" max="1" width="6.28125" style="4" customWidth="1"/>
    <col min="2" max="2" width="75.28125" style="5" bestFit="1" customWidth="1"/>
    <col min="3" max="3" width="18.00390625" style="5" customWidth="1"/>
    <col min="4" max="16384" width="9.140625" style="5" customWidth="1"/>
  </cols>
  <sheetData>
    <row r="1" spans="1:3" s="33" customFormat="1" ht="14.25">
      <c r="A1" s="32"/>
      <c r="C1" s="40" t="s">
        <v>215</v>
      </c>
    </row>
    <row r="2" spans="1:3" s="33" customFormat="1" ht="14.25">
      <c r="A2" s="32"/>
      <c r="C2" s="616" t="s">
        <v>27</v>
      </c>
    </row>
    <row r="3" spans="1:3" s="33" customFormat="1" ht="18" thickBot="1">
      <c r="A3" s="32"/>
      <c r="B3" s="960" t="s">
        <v>588</v>
      </c>
      <c r="C3" s="960"/>
    </row>
    <row r="4" spans="1:8" s="421" customFormat="1" ht="17.25" customHeight="1">
      <c r="A4" s="343"/>
      <c r="B4" s="959" t="s">
        <v>28</v>
      </c>
      <c r="C4" s="959"/>
      <c r="D4" s="354"/>
      <c r="E4" s="354"/>
      <c r="F4" s="354"/>
      <c r="G4" s="354"/>
      <c r="H4" s="354"/>
    </row>
    <row r="5" spans="1:3" s="33" customFormat="1" ht="24" customHeight="1">
      <c r="A5" s="957" t="s">
        <v>171</v>
      </c>
      <c r="B5" s="957"/>
      <c r="C5" s="957"/>
    </row>
    <row r="6" spans="1:3" s="33" customFormat="1" ht="13.5">
      <c r="A6" s="958" t="s">
        <v>335</v>
      </c>
      <c r="B6" s="958"/>
      <c r="C6" s="958"/>
    </row>
    <row r="7" spans="1:3" s="190" customFormat="1" ht="13.5">
      <c r="A7" s="32"/>
      <c r="B7" s="188"/>
      <c r="C7" s="188"/>
    </row>
    <row r="8" spans="1:3" s="191" customFormat="1" ht="17.25">
      <c r="A8" s="32"/>
      <c r="B8" s="735" t="s">
        <v>589</v>
      </c>
      <c r="C8" s="617"/>
    </row>
    <row r="9" spans="1:3" s="191" customFormat="1" ht="31.5" customHeight="1">
      <c r="A9" s="32"/>
      <c r="B9" s="956" t="s">
        <v>343</v>
      </c>
      <c r="C9" s="956"/>
    </row>
    <row r="10" spans="1:3" s="191" customFormat="1" ht="13.5">
      <c r="A10" s="32"/>
      <c r="B10" s="188"/>
      <c r="C10" s="188"/>
    </row>
    <row r="11" spans="1:3" s="191" customFormat="1" ht="35.25" customHeight="1">
      <c r="A11" s="232" t="s">
        <v>111</v>
      </c>
      <c r="B11" s="31" t="s">
        <v>211</v>
      </c>
      <c r="C11" s="31" t="s">
        <v>212</v>
      </c>
    </row>
    <row r="12" spans="1:3" s="191" customFormat="1" ht="13.5">
      <c r="A12" s="232">
        <v>1</v>
      </c>
      <c r="B12" s="31">
        <v>2</v>
      </c>
      <c r="C12" s="31">
        <v>3</v>
      </c>
    </row>
    <row r="13" spans="1:3" ht="14.25">
      <c r="A13" s="232" t="s">
        <v>2</v>
      </c>
      <c r="B13" s="277" t="s">
        <v>418</v>
      </c>
      <c r="C13" s="232">
        <f>+C14+C15</f>
        <v>5</v>
      </c>
    </row>
    <row r="14" spans="1:3" ht="13.5">
      <c r="A14" s="232"/>
      <c r="B14" s="618" t="s">
        <v>434</v>
      </c>
      <c r="C14" s="232">
        <v>1</v>
      </c>
    </row>
    <row r="15" spans="1:3" ht="13.5">
      <c r="A15" s="232"/>
      <c r="B15" s="618" t="s">
        <v>435</v>
      </c>
      <c r="C15" s="232">
        <v>4</v>
      </c>
    </row>
    <row r="16" spans="1:3" ht="14.25">
      <c r="A16" s="232" t="s">
        <v>3</v>
      </c>
      <c r="B16" s="277" t="s">
        <v>336</v>
      </c>
      <c r="C16" s="232">
        <f>+C17+C18+C19</f>
        <v>12</v>
      </c>
    </row>
    <row r="17" spans="1:3" ht="13.5">
      <c r="A17" s="232"/>
      <c r="B17" s="618" t="s">
        <v>337</v>
      </c>
      <c r="C17" s="232">
        <v>3</v>
      </c>
    </row>
    <row r="18" spans="1:3" ht="13.5">
      <c r="A18" s="232"/>
      <c r="B18" s="618" t="s">
        <v>338</v>
      </c>
      <c r="C18" s="232">
        <v>8</v>
      </c>
    </row>
    <row r="19" spans="1:3" ht="13.5">
      <c r="A19" s="232"/>
      <c r="B19" s="618" t="s">
        <v>339</v>
      </c>
      <c r="C19" s="232">
        <v>1</v>
      </c>
    </row>
    <row r="20" spans="1:3" ht="13.5">
      <c r="A20" s="619"/>
      <c r="B20" s="620"/>
      <c r="C20" s="619"/>
    </row>
    <row r="21" spans="1:3" ht="13.5">
      <c r="A21" s="232"/>
      <c r="B21" s="618" t="s">
        <v>409</v>
      </c>
      <c r="C21" s="232">
        <v>1</v>
      </c>
    </row>
    <row r="22" spans="1:3" ht="13.5">
      <c r="A22" s="232"/>
      <c r="B22" s="618" t="s">
        <v>410</v>
      </c>
      <c r="C22" s="232">
        <v>1</v>
      </c>
    </row>
    <row r="23" spans="1:3" ht="35.25" customHeight="1">
      <c r="A23" s="232" t="s">
        <v>4</v>
      </c>
      <c r="B23" s="277" t="s">
        <v>411</v>
      </c>
      <c r="C23" s="232">
        <f>+C25+C41</f>
        <v>105</v>
      </c>
    </row>
    <row r="24" spans="1:3" ht="14.25">
      <c r="A24" s="232"/>
      <c r="B24" s="277" t="s">
        <v>412</v>
      </c>
      <c r="C24" s="232"/>
    </row>
    <row r="25" spans="1:3" ht="14.25">
      <c r="A25" s="244" t="s">
        <v>415</v>
      </c>
      <c r="B25" s="30" t="s">
        <v>413</v>
      </c>
      <c r="C25" s="232">
        <f>+C26+C34</f>
        <v>74</v>
      </c>
    </row>
    <row r="26" spans="1:3" ht="14.25">
      <c r="A26" s="232"/>
      <c r="B26" s="277" t="s">
        <v>213</v>
      </c>
      <c r="C26" s="232">
        <f>SUM(C28:C33)</f>
        <v>74</v>
      </c>
    </row>
    <row r="27" spans="1:8" ht="15">
      <c r="A27" s="232"/>
      <c r="B27" s="104" t="s">
        <v>193</v>
      </c>
      <c r="C27" s="232"/>
      <c r="F27" s="621"/>
      <c r="H27" s="622"/>
    </row>
    <row r="28" spans="1:3" ht="14.25">
      <c r="A28" s="232">
        <v>1</v>
      </c>
      <c r="B28" s="277" t="s">
        <v>590</v>
      </c>
      <c r="C28" s="232">
        <v>8</v>
      </c>
    </row>
    <row r="29" spans="1:3" ht="28.5">
      <c r="A29" s="232">
        <v>2</v>
      </c>
      <c r="B29" s="736" t="s">
        <v>591</v>
      </c>
      <c r="C29" s="232">
        <v>12</v>
      </c>
    </row>
    <row r="30" spans="1:3" ht="14.25">
      <c r="A30" s="232">
        <v>3</v>
      </c>
      <c r="B30" s="18" t="s">
        <v>592</v>
      </c>
      <c r="C30" s="232">
        <v>8</v>
      </c>
    </row>
    <row r="31" spans="1:3" ht="14.25">
      <c r="A31" s="232">
        <v>4</v>
      </c>
      <c r="B31" s="737" t="s">
        <v>593</v>
      </c>
      <c r="C31" s="232">
        <v>11</v>
      </c>
    </row>
    <row r="32" spans="1:3" ht="14.25">
      <c r="A32" s="232">
        <v>5</v>
      </c>
      <c r="B32" s="737" t="s">
        <v>594</v>
      </c>
      <c r="C32" s="232">
        <v>11</v>
      </c>
    </row>
    <row r="33" spans="1:3" ht="14.25">
      <c r="A33" s="232">
        <v>6</v>
      </c>
      <c r="B33" s="737" t="s">
        <v>595</v>
      </c>
      <c r="C33" s="232">
        <v>24</v>
      </c>
    </row>
    <row r="34" spans="1:3" ht="14.25">
      <c r="A34" s="232"/>
      <c r="B34" s="277" t="s">
        <v>214</v>
      </c>
      <c r="C34" s="232">
        <f>SUM(C36:C39)</f>
        <v>0</v>
      </c>
    </row>
    <row r="35" spans="1:3" ht="13.5">
      <c r="A35" s="232"/>
      <c r="B35" s="104" t="s">
        <v>193</v>
      </c>
      <c r="C35" s="232"/>
    </row>
    <row r="36" spans="1:3" ht="13.5">
      <c r="A36" s="232">
        <v>1</v>
      </c>
      <c r="B36" s="104"/>
      <c r="C36" s="232"/>
    </row>
    <row r="37" spans="1:3" ht="13.5">
      <c r="A37" s="232">
        <v>2</v>
      </c>
      <c r="B37" s="104"/>
      <c r="C37" s="232"/>
    </row>
    <row r="38" spans="1:3" ht="13.5">
      <c r="A38" s="232">
        <v>3</v>
      </c>
      <c r="B38" s="104"/>
      <c r="C38" s="232"/>
    </row>
    <row r="39" spans="1:3" ht="13.5">
      <c r="A39" s="232">
        <v>4</v>
      </c>
      <c r="B39" s="104"/>
      <c r="C39" s="232"/>
    </row>
    <row r="40" spans="1:3" ht="13.5">
      <c r="A40" s="232"/>
      <c r="B40" s="104"/>
      <c r="C40" s="232"/>
    </row>
    <row r="41" spans="1:3" ht="14.25">
      <c r="A41" s="244" t="s">
        <v>414</v>
      </c>
      <c r="B41" s="30" t="s">
        <v>416</v>
      </c>
      <c r="C41" s="232">
        <f>+C42+C50</f>
        <v>31</v>
      </c>
    </row>
    <row r="42" spans="1:3" ht="14.25">
      <c r="A42" s="232"/>
      <c r="B42" s="277" t="s">
        <v>213</v>
      </c>
      <c r="C42" s="232">
        <f>SUM(C44:C47)</f>
        <v>27</v>
      </c>
    </row>
    <row r="43" spans="1:8" ht="15">
      <c r="A43" s="232"/>
      <c r="B43" s="104" t="s">
        <v>193</v>
      </c>
      <c r="C43" s="232"/>
      <c r="F43" s="621"/>
      <c r="H43" s="622"/>
    </row>
    <row r="44" spans="1:3" ht="14.25">
      <c r="A44" s="232">
        <v>1</v>
      </c>
      <c r="B44" s="737" t="s">
        <v>596</v>
      </c>
      <c r="C44" s="232">
        <v>7</v>
      </c>
    </row>
    <row r="45" spans="1:3" ht="14.25">
      <c r="A45" s="232">
        <v>2</v>
      </c>
      <c r="B45" s="737" t="s">
        <v>597</v>
      </c>
      <c r="C45" s="232">
        <v>6</v>
      </c>
    </row>
    <row r="46" spans="1:3" ht="14.25">
      <c r="A46" s="232">
        <v>3</v>
      </c>
      <c r="B46" s="737" t="s">
        <v>598</v>
      </c>
      <c r="C46" s="232">
        <v>8</v>
      </c>
    </row>
    <row r="47" spans="1:3" ht="14.25">
      <c r="A47" s="232">
        <v>4</v>
      </c>
      <c r="B47" s="737" t="s">
        <v>599</v>
      </c>
      <c r="C47" s="232">
        <v>6</v>
      </c>
    </row>
    <row r="48" spans="1:3" ht="13.5">
      <c r="A48" s="232"/>
      <c r="B48" s="104"/>
      <c r="C48" s="232"/>
    </row>
    <row r="49" spans="1:3" ht="14.25">
      <c r="A49" s="232"/>
      <c r="B49" s="105"/>
      <c r="C49" s="232"/>
    </row>
    <row r="50" spans="1:3" ht="14.25">
      <c r="A50" s="232"/>
      <c r="B50" s="277" t="s">
        <v>214</v>
      </c>
      <c r="C50" s="232">
        <f>SUM(C52:C55)</f>
        <v>4</v>
      </c>
    </row>
    <row r="51" spans="1:3" ht="13.5">
      <c r="A51" s="232"/>
      <c r="B51" s="104" t="s">
        <v>193</v>
      </c>
      <c r="C51" s="232"/>
    </row>
    <row r="52" spans="1:3" ht="14.25">
      <c r="A52" s="232">
        <v>1</v>
      </c>
      <c r="B52" s="737" t="s">
        <v>600</v>
      </c>
      <c r="C52" s="232">
        <v>2</v>
      </c>
    </row>
    <row r="53" spans="1:3" ht="14.25">
      <c r="A53" s="232">
        <v>2</v>
      </c>
      <c r="B53" s="737" t="s">
        <v>601</v>
      </c>
      <c r="C53" s="232">
        <v>2</v>
      </c>
    </row>
    <row r="54" spans="1:3" ht="13.5">
      <c r="A54" s="232">
        <v>3</v>
      </c>
      <c r="B54" s="104"/>
      <c r="C54" s="232"/>
    </row>
    <row r="55" spans="1:3" ht="13.5">
      <c r="A55" s="232">
        <v>4</v>
      </c>
      <c r="B55" s="104"/>
      <c r="C55" s="232"/>
    </row>
    <row r="56" spans="1:3" ht="14.25">
      <c r="A56" s="232"/>
      <c r="B56" s="277"/>
      <c r="C56" s="623"/>
    </row>
    <row r="57" spans="1:3" ht="14.25">
      <c r="A57" s="232" t="s">
        <v>341</v>
      </c>
      <c r="B57" s="624" t="s">
        <v>417</v>
      </c>
      <c r="C57" s="232">
        <f>SUM(C59:C62)</f>
        <v>147</v>
      </c>
    </row>
    <row r="58" spans="1:3" ht="13.5">
      <c r="A58" s="232"/>
      <c r="B58" s="625" t="s">
        <v>193</v>
      </c>
      <c r="C58" s="232"/>
    </row>
    <row r="59" spans="1:3" ht="14.25">
      <c r="A59" s="232">
        <v>1</v>
      </c>
      <c r="B59" s="737" t="s">
        <v>602</v>
      </c>
      <c r="C59" s="232">
        <v>34</v>
      </c>
    </row>
    <row r="60" spans="1:3" ht="14.25">
      <c r="A60" s="232">
        <v>2</v>
      </c>
      <c r="B60" s="737" t="s">
        <v>603</v>
      </c>
      <c r="C60" s="232">
        <v>21</v>
      </c>
    </row>
    <row r="61" spans="1:3" ht="14.25">
      <c r="A61" s="232">
        <v>3</v>
      </c>
      <c r="B61" s="738" t="s">
        <v>604</v>
      </c>
      <c r="C61" s="232">
        <v>92</v>
      </c>
    </row>
    <row r="62" spans="1:3" ht="13.5">
      <c r="A62" s="232"/>
      <c r="B62" s="104"/>
      <c r="C62" s="232"/>
    </row>
    <row r="63" spans="1:3" ht="28.5">
      <c r="A63" s="232" t="s">
        <v>24</v>
      </c>
      <c r="B63" s="30" t="s">
        <v>340</v>
      </c>
      <c r="C63" s="232">
        <v>16</v>
      </c>
    </row>
    <row r="64" spans="1:3" ht="13.5">
      <c r="A64" s="232"/>
      <c r="B64" s="104"/>
      <c r="C64" s="232"/>
    </row>
    <row r="65" spans="1:3" s="249" customFormat="1" ht="30.75" customHeight="1">
      <c r="A65" s="244"/>
      <c r="B65" s="626" t="s">
        <v>342</v>
      </c>
      <c r="C65" s="244">
        <f>+C13+C16+C21+C22+C23+C57+C63</f>
        <v>287</v>
      </c>
    </row>
  </sheetData>
  <sheetProtection/>
  <mergeCells count="5">
    <mergeCell ref="B9:C9"/>
    <mergeCell ref="A5:C5"/>
    <mergeCell ref="A6:C6"/>
    <mergeCell ref="B4:C4"/>
    <mergeCell ref="B3:C3"/>
  </mergeCells>
  <printOptions/>
  <pageMargins left="0.24" right="0.35" top="0.37" bottom="0.4" header="0.21" footer="0.19"/>
  <pageSetup horizontalDpi="600" verticalDpi="600" orientation="portrait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L65"/>
  <sheetViews>
    <sheetView zoomScalePageLayoutView="0" workbookViewId="0" topLeftCell="A1">
      <selection activeCell="B4" sqref="B3:L4"/>
    </sheetView>
  </sheetViews>
  <sheetFormatPr defaultColWidth="9.140625" defaultRowHeight="12.75"/>
  <cols>
    <col min="1" max="1" width="3.57421875" style="4" customWidth="1"/>
    <col min="2" max="2" width="28.57421875" style="5" customWidth="1"/>
    <col min="3" max="3" width="9.140625" style="5" bestFit="1" customWidth="1"/>
    <col min="4" max="4" width="8.140625" style="5" customWidth="1"/>
    <col min="5" max="5" width="10.57421875" style="5" customWidth="1"/>
    <col min="6" max="6" width="12.140625" style="5" customWidth="1"/>
    <col min="7" max="7" width="8.7109375" style="5" customWidth="1"/>
    <col min="8" max="8" width="14.00390625" style="5" customWidth="1"/>
    <col min="9" max="9" width="9.421875" style="5" bestFit="1" customWidth="1"/>
    <col min="10" max="10" width="9.00390625" style="5" customWidth="1"/>
    <col min="11" max="12" width="10.57421875" style="5" customWidth="1"/>
    <col min="13" max="13" width="9.00390625" style="5" bestFit="1" customWidth="1"/>
    <col min="14" max="14" width="8.00390625" style="5" customWidth="1"/>
    <col min="15" max="15" width="10.7109375" style="5" bestFit="1" customWidth="1"/>
    <col min="16" max="16" width="8.8515625" style="5" customWidth="1"/>
    <col min="17" max="17" width="9.00390625" style="5" bestFit="1" customWidth="1"/>
    <col min="18" max="18" width="10.00390625" style="5" customWidth="1"/>
    <col min="19" max="19" width="9.8515625" style="5" customWidth="1"/>
    <col min="20" max="20" width="10.00390625" style="5" customWidth="1"/>
    <col min="21" max="21" width="9.8515625" style="5" customWidth="1"/>
    <col min="22" max="23" width="9.140625" style="5" customWidth="1"/>
    <col min="24" max="24" width="10.57421875" style="5" customWidth="1"/>
    <col min="25" max="25" width="12.140625" style="5" customWidth="1"/>
    <col min="26" max="26" width="8.7109375" style="5" customWidth="1"/>
    <col min="27" max="27" width="10.7109375" style="5" bestFit="1" customWidth="1"/>
    <col min="28" max="28" width="9.421875" style="5" bestFit="1" customWidth="1"/>
    <col min="29" max="29" width="9.00390625" style="5" customWidth="1"/>
    <col min="30" max="30" width="9.8515625" style="5" bestFit="1" customWidth="1"/>
    <col min="31" max="31" width="10.57421875" style="5" customWidth="1"/>
    <col min="32" max="32" width="12.140625" style="5" customWidth="1"/>
    <col min="33" max="33" width="9.00390625" style="5" customWidth="1"/>
    <col min="34" max="34" width="10.7109375" style="5" bestFit="1" customWidth="1"/>
    <col min="35" max="35" width="9.421875" style="5" bestFit="1" customWidth="1"/>
    <col min="36" max="36" width="9.00390625" style="5" customWidth="1"/>
    <col min="37" max="37" width="10.57421875" style="5" customWidth="1"/>
    <col min="38" max="16384" width="9.140625" style="5" customWidth="1"/>
  </cols>
  <sheetData>
    <row r="1" spans="1:38" ht="16.5">
      <c r="A1" s="32"/>
      <c r="B1" s="236" t="s">
        <v>218</v>
      </c>
      <c r="C1" s="33"/>
      <c r="D1" s="33"/>
      <c r="E1" s="33"/>
      <c r="F1" s="33"/>
      <c r="G1" s="33"/>
      <c r="H1" s="33"/>
      <c r="I1" s="3"/>
      <c r="J1" s="32"/>
      <c r="K1" s="137" t="s">
        <v>234</v>
      </c>
      <c r="L1" s="33"/>
      <c r="M1" s="137"/>
      <c r="N1" s="33"/>
      <c r="O1" s="138"/>
      <c r="P1" s="32"/>
      <c r="Q1" s="137"/>
      <c r="R1" s="33"/>
      <c r="S1" s="138"/>
      <c r="T1" s="33"/>
      <c r="U1" s="138"/>
      <c r="V1" s="33"/>
      <c r="W1" s="138"/>
      <c r="X1" s="190"/>
      <c r="Y1" s="190"/>
      <c r="Z1" s="190"/>
      <c r="AA1" s="190"/>
      <c r="AB1" s="3"/>
      <c r="AC1" s="328"/>
      <c r="AD1" s="137"/>
      <c r="AE1" s="190"/>
      <c r="AF1" s="190"/>
      <c r="AG1" s="190"/>
      <c r="AH1" s="190"/>
      <c r="AI1" s="3"/>
      <c r="AJ1" s="328"/>
      <c r="AK1" s="137"/>
      <c r="AL1" s="191"/>
    </row>
    <row r="2" spans="1:38" ht="16.5" customHeight="1" thickBot="1">
      <c r="A2" s="32"/>
      <c r="B2" s="24"/>
      <c r="C2" s="187"/>
      <c r="D2" s="187"/>
      <c r="E2" s="187"/>
      <c r="F2" s="187"/>
      <c r="G2" s="24"/>
      <c r="H2" s="187"/>
      <c r="I2" s="188"/>
      <c r="K2" s="422" t="s">
        <v>27</v>
      </c>
      <c r="L2" s="187"/>
      <c r="M2" s="152"/>
      <c r="N2" s="152"/>
      <c r="O2" s="238"/>
      <c r="P2" s="902"/>
      <c r="Q2" s="902"/>
      <c r="R2" s="902"/>
      <c r="S2" s="152"/>
      <c r="T2" s="152"/>
      <c r="U2" s="152"/>
      <c r="V2" s="152"/>
      <c r="W2" s="152"/>
      <c r="X2" s="9"/>
      <c r="Y2" s="9"/>
      <c r="Z2" s="6"/>
      <c r="AA2" s="9"/>
      <c r="AB2" s="188"/>
      <c r="AC2" s="191"/>
      <c r="AD2" s="422"/>
      <c r="AE2" s="9"/>
      <c r="AF2" s="9"/>
      <c r="AG2" s="6"/>
      <c r="AH2" s="9"/>
      <c r="AI2" s="188"/>
      <c r="AJ2" s="191"/>
      <c r="AK2" s="422"/>
      <c r="AL2" s="191"/>
    </row>
    <row r="3" spans="1:37" s="191" customFormat="1" ht="25.5" customHeight="1">
      <c r="A3" s="32"/>
      <c r="B3" s="423" t="s">
        <v>28</v>
      </c>
      <c r="C3" s="138"/>
      <c r="D3" s="138"/>
      <c r="E3" s="138"/>
      <c r="F3" s="33"/>
      <c r="G3" s="189"/>
      <c r="H3" s="33"/>
      <c r="I3" s="33"/>
      <c r="J3" s="33"/>
      <c r="K3" s="43" t="s">
        <v>216</v>
      </c>
      <c r="L3" s="138"/>
      <c r="M3" s="43"/>
      <c r="N3" s="36"/>
      <c r="O3" s="190"/>
      <c r="P3" s="33"/>
      <c r="Q3" s="43"/>
      <c r="R3" s="36"/>
      <c r="S3" s="190"/>
      <c r="T3" s="36"/>
      <c r="U3" s="190"/>
      <c r="V3" s="36"/>
      <c r="W3" s="190"/>
      <c r="X3" s="138"/>
      <c r="Y3" s="33"/>
      <c r="Z3" s="189"/>
      <c r="AA3" s="33"/>
      <c r="AB3" s="33"/>
      <c r="AC3" s="33"/>
      <c r="AD3" s="43" t="s">
        <v>216</v>
      </c>
      <c r="AE3" s="138"/>
      <c r="AF3" s="33"/>
      <c r="AG3" s="189"/>
      <c r="AH3" s="33"/>
      <c r="AI3" s="33"/>
      <c r="AJ3" s="33"/>
      <c r="AK3" s="43" t="s">
        <v>216</v>
      </c>
    </row>
    <row r="4" spans="1:37" s="191" customFormat="1" ht="13.5">
      <c r="A4" s="239"/>
      <c r="B4" s="240"/>
      <c r="C4" s="241"/>
      <c r="D4" s="242"/>
      <c r="E4" s="242"/>
      <c r="F4" s="242"/>
      <c r="G4" s="356" t="s">
        <v>458</v>
      </c>
      <c r="H4" s="242"/>
      <c r="I4" s="242"/>
      <c r="J4" s="242"/>
      <c r="K4" s="242"/>
      <c r="L4" s="241"/>
      <c r="M4" s="242"/>
      <c r="N4" s="961" t="s">
        <v>451</v>
      </c>
      <c r="O4" s="961"/>
      <c r="P4" s="961"/>
      <c r="Q4" s="961"/>
      <c r="R4" s="962"/>
      <c r="S4" s="961" t="s">
        <v>217</v>
      </c>
      <c r="T4" s="961"/>
      <c r="U4" s="961"/>
      <c r="V4" s="961"/>
      <c r="W4" s="962"/>
      <c r="X4" s="241"/>
      <c r="Y4" s="242"/>
      <c r="Z4" s="356" t="s">
        <v>476</v>
      </c>
      <c r="AA4" s="242"/>
      <c r="AB4" s="242"/>
      <c r="AC4" s="242"/>
      <c r="AD4" s="608"/>
      <c r="AE4" s="606"/>
      <c r="AF4" s="607"/>
      <c r="AG4" s="356" t="s">
        <v>520</v>
      </c>
      <c r="AH4" s="607"/>
      <c r="AI4" s="607"/>
      <c r="AJ4" s="242"/>
      <c r="AK4" s="609"/>
    </row>
    <row r="5" spans="1:37" s="191" customFormat="1" ht="102">
      <c r="A5" s="243" t="s">
        <v>111</v>
      </c>
      <c r="B5" s="66" t="s">
        <v>219</v>
      </c>
      <c r="C5" s="66" t="s">
        <v>220</v>
      </c>
      <c r="D5" s="66" t="s">
        <v>221</v>
      </c>
      <c r="E5" s="66" t="s">
        <v>212</v>
      </c>
      <c r="F5" s="562" t="s">
        <v>459</v>
      </c>
      <c r="G5" s="562" t="s">
        <v>457</v>
      </c>
      <c r="H5" s="325" t="s">
        <v>314</v>
      </c>
      <c r="I5" s="66" t="s">
        <v>223</v>
      </c>
      <c r="J5" s="66" t="s">
        <v>224</v>
      </c>
      <c r="K5" s="66" t="s">
        <v>225</v>
      </c>
      <c r="L5" s="562" t="s">
        <v>523</v>
      </c>
      <c r="M5" s="562" t="s">
        <v>456</v>
      </c>
      <c r="N5" s="66" t="s">
        <v>212</v>
      </c>
      <c r="O5" s="66" t="s">
        <v>284</v>
      </c>
      <c r="P5" s="66" t="s">
        <v>223</v>
      </c>
      <c r="Q5" s="66" t="s">
        <v>224</v>
      </c>
      <c r="R5" s="66" t="s">
        <v>255</v>
      </c>
      <c r="S5" s="66" t="s">
        <v>212</v>
      </c>
      <c r="T5" s="66" t="s">
        <v>284</v>
      </c>
      <c r="U5" s="66" t="s">
        <v>223</v>
      </c>
      <c r="V5" s="66" t="s">
        <v>224</v>
      </c>
      <c r="W5" s="66" t="s">
        <v>469</v>
      </c>
      <c r="X5" s="66" t="s">
        <v>212</v>
      </c>
      <c r="Y5" s="562" t="s">
        <v>474</v>
      </c>
      <c r="Z5" s="562" t="s">
        <v>475</v>
      </c>
      <c r="AA5" s="66" t="s">
        <v>239</v>
      </c>
      <c r="AB5" s="66" t="s">
        <v>223</v>
      </c>
      <c r="AC5" s="66" t="s">
        <v>224</v>
      </c>
      <c r="AD5" s="66" t="s">
        <v>460</v>
      </c>
      <c r="AE5" s="66" t="s">
        <v>212</v>
      </c>
      <c r="AF5" s="562" t="s">
        <v>521</v>
      </c>
      <c r="AG5" s="562" t="s">
        <v>522</v>
      </c>
      <c r="AH5" s="66" t="s">
        <v>239</v>
      </c>
      <c r="AI5" s="66" t="s">
        <v>223</v>
      </c>
      <c r="AJ5" s="66" t="s">
        <v>224</v>
      </c>
      <c r="AK5" s="65" t="s">
        <v>255</v>
      </c>
    </row>
    <row r="6" spans="1:37" s="37" customFormat="1" ht="12.75">
      <c r="A6" s="127">
        <v>1</v>
      </c>
      <c r="B6" s="127">
        <v>2</v>
      </c>
      <c r="C6" s="127">
        <v>3</v>
      </c>
      <c r="D6" s="127">
        <v>4</v>
      </c>
      <c r="E6" s="127">
        <v>5</v>
      </c>
      <c r="F6" s="127">
        <v>6</v>
      </c>
      <c r="G6" s="127">
        <v>7</v>
      </c>
      <c r="H6" s="127">
        <v>8</v>
      </c>
      <c r="I6" s="127">
        <v>9</v>
      </c>
      <c r="J6" s="127">
        <v>10</v>
      </c>
      <c r="K6" s="127">
        <v>11</v>
      </c>
      <c r="L6" s="127">
        <v>12</v>
      </c>
      <c r="M6" s="127">
        <v>13</v>
      </c>
      <c r="N6" s="127">
        <v>14</v>
      </c>
      <c r="O6" s="127">
        <v>15</v>
      </c>
      <c r="P6" s="127">
        <v>16</v>
      </c>
      <c r="Q6" s="127">
        <v>17</v>
      </c>
      <c r="R6" s="127">
        <v>18</v>
      </c>
      <c r="S6" s="127">
        <v>19</v>
      </c>
      <c r="T6" s="127">
        <v>20</v>
      </c>
      <c r="U6" s="127">
        <v>21</v>
      </c>
      <c r="V6" s="127">
        <v>22</v>
      </c>
      <c r="W6" s="127">
        <v>23</v>
      </c>
      <c r="X6" s="127">
        <v>24</v>
      </c>
      <c r="Y6" s="127">
        <v>25</v>
      </c>
      <c r="Z6" s="127">
        <v>26</v>
      </c>
      <c r="AA6" s="127">
        <v>27</v>
      </c>
      <c r="AB6" s="127">
        <v>28</v>
      </c>
      <c r="AC6" s="127">
        <v>29</v>
      </c>
      <c r="AD6" s="127">
        <v>30</v>
      </c>
      <c r="AE6" s="127">
        <v>31</v>
      </c>
      <c r="AF6" s="127">
        <v>32</v>
      </c>
      <c r="AG6" s="127">
        <v>33</v>
      </c>
      <c r="AH6" s="127">
        <v>34</v>
      </c>
      <c r="AI6" s="127">
        <v>35</v>
      </c>
      <c r="AJ6" s="127">
        <v>36</v>
      </c>
      <c r="AK6" s="127">
        <v>37</v>
      </c>
    </row>
    <row r="7" spans="1:37" ht="14.25">
      <c r="A7" s="244" t="s">
        <v>2</v>
      </c>
      <c r="B7" s="245" t="s">
        <v>418</v>
      </c>
      <c r="C7" s="246"/>
      <c r="D7" s="246"/>
      <c r="E7" s="246"/>
      <c r="F7" s="246"/>
      <c r="G7" s="245"/>
      <c r="H7" s="246"/>
      <c r="I7" s="246"/>
      <c r="J7" s="246"/>
      <c r="K7" s="246"/>
      <c r="L7" s="246"/>
      <c r="M7" s="246"/>
      <c r="N7" s="245"/>
      <c r="O7" s="246"/>
      <c r="P7" s="246"/>
      <c r="Q7" s="246"/>
      <c r="R7" s="245"/>
      <c r="S7" s="245"/>
      <c r="T7" s="245"/>
      <c r="U7" s="245"/>
      <c r="V7" s="109"/>
      <c r="W7" s="109"/>
      <c r="X7" s="246"/>
      <c r="Y7" s="246"/>
      <c r="Z7" s="245"/>
      <c r="AA7" s="246"/>
      <c r="AB7" s="246"/>
      <c r="AC7" s="246"/>
      <c r="AD7" s="246"/>
      <c r="AE7" s="246"/>
      <c r="AF7" s="246"/>
      <c r="AG7" s="245"/>
      <c r="AH7" s="246"/>
      <c r="AI7" s="246"/>
      <c r="AJ7" s="246"/>
      <c r="AK7" s="246"/>
    </row>
    <row r="8" spans="1:37" ht="13.5">
      <c r="A8" s="232"/>
      <c r="B8" s="207" t="s">
        <v>193</v>
      </c>
      <c r="C8" s="246"/>
      <c r="D8" s="246"/>
      <c r="E8" s="246"/>
      <c r="F8" s="246"/>
      <c r="G8" s="207"/>
      <c r="H8" s="246"/>
      <c r="I8" s="246"/>
      <c r="J8" s="246"/>
      <c r="K8" s="246"/>
      <c r="L8" s="246"/>
      <c r="M8" s="246"/>
      <c r="N8" s="207"/>
      <c r="O8" s="246"/>
      <c r="P8" s="246"/>
      <c r="Q8" s="246"/>
      <c r="R8" s="207"/>
      <c r="S8" s="207"/>
      <c r="T8" s="207"/>
      <c r="U8" s="207"/>
      <c r="V8" s="109"/>
      <c r="W8" s="109"/>
      <c r="X8" s="246"/>
      <c r="Y8" s="246"/>
      <c r="Z8" s="207"/>
      <c r="AA8" s="246"/>
      <c r="AB8" s="246"/>
      <c r="AC8" s="246"/>
      <c r="AD8" s="246"/>
      <c r="AE8" s="246"/>
      <c r="AF8" s="246"/>
      <c r="AG8" s="207"/>
      <c r="AH8" s="246"/>
      <c r="AI8" s="246"/>
      <c r="AJ8" s="246"/>
      <c r="AK8" s="246"/>
    </row>
    <row r="9" spans="1:37" ht="13.5">
      <c r="A9" s="232">
        <v>1</v>
      </c>
      <c r="B9" s="104"/>
      <c r="C9" s="232"/>
      <c r="D9" s="246" t="s">
        <v>1</v>
      </c>
      <c r="E9" s="246"/>
      <c r="F9" s="246" t="s">
        <v>1</v>
      </c>
      <c r="G9" s="104"/>
      <c r="H9" s="232"/>
      <c r="I9" s="232"/>
      <c r="J9" s="232"/>
      <c r="K9" s="246">
        <f>H9+I9+J9</f>
        <v>0</v>
      </c>
      <c r="L9" s="246" t="s">
        <v>1</v>
      </c>
      <c r="M9" s="246"/>
      <c r="N9" s="104"/>
      <c r="O9" s="232"/>
      <c r="P9" s="232"/>
      <c r="Q9" s="232"/>
      <c r="R9" s="246">
        <f>O9+P9+Q9</f>
        <v>0</v>
      </c>
      <c r="S9" s="246">
        <f aca="true" t="shared" si="0" ref="S9:V11">G9-N9</f>
        <v>0</v>
      </c>
      <c r="T9" s="246">
        <f t="shared" si="0"/>
        <v>0</v>
      </c>
      <c r="U9" s="246">
        <f t="shared" si="0"/>
        <v>0</v>
      </c>
      <c r="V9" s="246">
        <f t="shared" si="0"/>
        <v>0</v>
      </c>
      <c r="W9" s="246">
        <f>T9+U9+V9</f>
        <v>0</v>
      </c>
      <c r="X9" s="246"/>
      <c r="Y9" s="246" t="s">
        <v>1</v>
      </c>
      <c r="Z9" s="104"/>
      <c r="AA9" s="232"/>
      <c r="AB9" s="232"/>
      <c r="AC9" s="232"/>
      <c r="AD9" s="246">
        <f>AA9+AB9+AC9</f>
        <v>0</v>
      </c>
      <c r="AE9" s="246"/>
      <c r="AF9" s="246" t="s">
        <v>1</v>
      </c>
      <c r="AG9" s="104"/>
      <c r="AH9" s="232"/>
      <c r="AI9" s="232"/>
      <c r="AJ9" s="232"/>
      <c r="AK9" s="246">
        <f>AH9+AI9+AJ9</f>
        <v>0</v>
      </c>
    </row>
    <row r="10" spans="1:37" ht="13.5">
      <c r="A10" s="232">
        <v>2</v>
      </c>
      <c r="B10" s="104"/>
      <c r="C10" s="232"/>
      <c r="D10" s="246" t="s">
        <v>1</v>
      </c>
      <c r="E10" s="246"/>
      <c r="F10" s="246" t="s">
        <v>1</v>
      </c>
      <c r="G10" s="104"/>
      <c r="H10" s="232"/>
      <c r="I10" s="232"/>
      <c r="J10" s="232"/>
      <c r="K10" s="246">
        <f>H10+I10+J10</f>
        <v>0</v>
      </c>
      <c r="L10" s="246" t="s">
        <v>1</v>
      </c>
      <c r="M10" s="246"/>
      <c r="N10" s="104"/>
      <c r="O10" s="232"/>
      <c r="P10" s="232"/>
      <c r="Q10" s="232"/>
      <c r="R10" s="246">
        <f>O10+P10+Q10</f>
        <v>0</v>
      </c>
      <c r="S10" s="246">
        <f t="shared" si="0"/>
        <v>0</v>
      </c>
      <c r="T10" s="246">
        <f t="shared" si="0"/>
        <v>0</v>
      </c>
      <c r="U10" s="246">
        <f t="shared" si="0"/>
        <v>0</v>
      </c>
      <c r="V10" s="246">
        <f t="shared" si="0"/>
        <v>0</v>
      </c>
      <c r="W10" s="246">
        <f>T10+U10+V10</f>
        <v>0</v>
      </c>
      <c r="X10" s="246"/>
      <c r="Y10" s="246" t="s">
        <v>1</v>
      </c>
      <c r="Z10" s="104"/>
      <c r="AA10" s="232"/>
      <c r="AB10" s="232"/>
      <c r="AC10" s="232"/>
      <c r="AD10" s="246">
        <f>AA10+AB10+AC10</f>
        <v>0</v>
      </c>
      <c r="AE10" s="246"/>
      <c r="AF10" s="246" t="s">
        <v>1</v>
      </c>
      <c r="AG10" s="104"/>
      <c r="AH10" s="232"/>
      <c r="AI10" s="232"/>
      <c r="AJ10" s="232"/>
      <c r="AK10" s="246">
        <f>AH10+AI10+AJ10</f>
        <v>0</v>
      </c>
    </row>
    <row r="11" spans="1:37" ht="13.5">
      <c r="A11" s="232">
        <v>3</v>
      </c>
      <c r="B11" s="104"/>
      <c r="C11" s="232"/>
      <c r="D11" s="246" t="s">
        <v>1</v>
      </c>
      <c r="E11" s="246"/>
      <c r="F11" s="246" t="s">
        <v>1</v>
      </c>
      <c r="G11" s="104"/>
      <c r="H11" s="232"/>
      <c r="I11" s="232"/>
      <c r="J11" s="232"/>
      <c r="K11" s="246">
        <f>H11+I11+J11</f>
        <v>0</v>
      </c>
      <c r="L11" s="246" t="s">
        <v>1</v>
      </c>
      <c r="M11" s="246"/>
      <c r="N11" s="104"/>
      <c r="O11" s="232"/>
      <c r="P11" s="232"/>
      <c r="Q11" s="232"/>
      <c r="R11" s="246">
        <f>O11+P11+Q11</f>
        <v>0</v>
      </c>
      <c r="S11" s="246">
        <f t="shared" si="0"/>
        <v>0</v>
      </c>
      <c r="T11" s="246">
        <f t="shared" si="0"/>
        <v>0</v>
      </c>
      <c r="U11" s="246">
        <f t="shared" si="0"/>
        <v>0</v>
      </c>
      <c r="V11" s="246">
        <f t="shared" si="0"/>
        <v>0</v>
      </c>
      <c r="W11" s="246">
        <f>T11+U11+V11</f>
        <v>0</v>
      </c>
      <c r="X11" s="246"/>
      <c r="Y11" s="246" t="s">
        <v>1</v>
      </c>
      <c r="Z11" s="104"/>
      <c r="AA11" s="232"/>
      <c r="AB11" s="232"/>
      <c r="AC11" s="232"/>
      <c r="AD11" s="246">
        <f>AA11+AB11+AC11</f>
        <v>0</v>
      </c>
      <c r="AE11" s="246"/>
      <c r="AF11" s="246" t="s">
        <v>1</v>
      </c>
      <c r="AG11" s="104"/>
      <c r="AH11" s="232"/>
      <c r="AI11" s="232"/>
      <c r="AJ11" s="232"/>
      <c r="AK11" s="246">
        <f>AH11+AI11+AJ11</f>
        <v>0</v>
      </c>
    </row>
    <row r="12" spans="1:37" s="249" customFormat="1" ht="14.25">
      <c r="A12" s="244"/>
      <c r="B12" s="247" t="s">
        <v>110</v>
      </c>
      <c r="C12" s="248" t="s">
        <v>1</v>
      </c>
      <c r="D12" s="248" t="s">
        <v>1</v>
      </c>
      <c r="E12" s="248"/>
      <c r="F12" s="248" t="s">
        <v>1</v>
      </c>
      <c r="G12" s="248">
        <f aca="true" t="shared" si="1" ref="G12:Q12">SUM(G9:G11)</f>
        <v>0</v>
      </c>
      <c r="H12" s="248">
        <f t="shared" si="1"/>
        <v>0</v>
      </c>
      <c r="I12" s="248">
        <f t="shared" si="1"/>
        <v>0</v>
      </c>
      <c r="J12" s="248">
        <f t="shared" si="1"/>
        <v>0</v>
      </c>
      <c r="K12" s="248">
        <f t="shared" si="1"/>
        <v>0</v>
      </c>
      <c r="L12" s="248" t="s">
        <v>1</v>
      </c>
      <c r="M12" s="248" t="s">
        <v>1</v>
      </c>
      <c r="N12" s="248">
        <f t="shared" si="1"/>
        <v>0</v>
      </c>
      <c r="O12" s="248">
        <f t="shared" si="1"/>
        <v>0</v>
      </c>
      <c r="P12" s="248">
        <f t="shared" si="1"/>
        <v>0</v>
      </c>
      <c r="Q12" s="248">
        <f t="shared" si="1"/>
        <v>0</v>
      </c>
      <c r="R12" s="248">
        <f aca="true" t="shared" si="2" ref="R12:W12">SUM(R9:R11)</f>
        <v>0</v>
      </c>
      <c r="S12" s="248">
        <f t="shared" si="2"/>
        <v>0</v>
      </c>
      <c r="T12" s="248">
        <f t="shared" si="2"/>
        <v>0</v>
      </c>
      <c r="U12" s="248">
        <f t="shared" si="2"/>
        <v>0</v>
      </c>
      <c r="V12" s="248">
        <f t="shared" si="2"/>
        <v>0</v>
      </c>
      <c r="W12" s="248">
        <f t="shared" si="2"/>
        <v>0</v>
      </c>
      <c r="X12" s="248"/>
      <c r="Y12" s="248" t="s">
        <v>1</v>
      </c>
      <c r="Z12" s="248">
        <f>SUM(Z9:Z11)</f>
        <v>0</v>
      </c>
      <c r="AA12" s="248">
        <f>SUM(AA9:AA11)</f>
        <v>0</v>
      </c>
      <c r="AB12" s="248">
        <f>SUM(AB9:AB11)</f>
        <v>0</v>
      </c>
      <c r="AC12" s="248">
        <f>SUM(AC9:AC11)</f>
        <v>0</v>
      </c>
      <c r="AD12" s="248">
        <f>SUM(AD9:AD11)</f>
        <v>0</v>
      </c>
      <c r="AE12" s="248"/>
      <c r="AF12" s="248" t="s">
        <v>1</v>
      </c>
      <c r="AG12" s="248">
        <f>SUM(AG9:AG11)</f>
        <v>0</v>
      </c>
      <c r="AH12" s="248">
        <f>SUM(AH9:AH11)</f>
        <v>0</v>
      </c>
      <c r="AI12" s="248">
        <f>SUM(AI9:AI11)</f>
        <v>0</v>
      </c>
      <c r="AJ12" s="248">
        <f>SUM(AJ9:AJ11)</f>
        <v>0</v>
      </c>
      <c r="AK12" s="248">
        <f>SUM(AK9:AK11)</f>
        <v>0</v>
      </c>
    </row>
    <row r="13" spans="1:37" ht="40.5">
      <c r="A13" s="244" t="s">
        <v>3</v>
      </c>
      <c r="B13" s="245" t="s">
        <v>431</v>
      </c>
      <c r="C13" s="246"/>
      <c r="D13" s="246"/>
      <c r="E13" s="246"/>
      <c r="F13" s="246"/>
      <c r="G13" s="245"/>
      <c r="H13" s="245"/>
      <c r="I13" s="245"/>
      <c r="J13" s="245"/>
      <c r="K13" s="245"/>
      <c r="L13" s="246"/>
      <c r="M13" s="246"/>
      <c r="N13" s="245"/>
      <c r="O13" s="245"/>
      <c r="P13" s="245"/>
      <c r="Q13" s="245"/>
      <c r="R13" s="245"/>
      <c r="S13" s="245"/>
      <c r="T13" s="245"/>
      <c r="U13" s="245"/>
      <c r="V13" s="109"/>
      <c r="W13" s="109"/>
      <c r="X13" s="246"/>
      <c r="Y13" s="246"/>
      <c r="Z13" s="245"/>
      <c r="AA13" s="245"/>
      <c r="AB13" s="245"/>
      <c r="AC13" s="245"/>
      <c r="AD13" s="245"/>
      <c r="AE13" s="246"/>
      <c r="AF13" s="246"/>
      <c r="AG13" s="245"/>
      <c r="AH13" s="245"/>
      <c r="AI13" s="245"/>
      <c r="AJ13" s="245"/>
      <c r="AK13" s="245"/>
    </row>
    <row r="14" spans="1:37" ht="13.5">
      <c r="A14" s="232"/>
      <c r="B14" s="207" t="s">
        <v>193</v>
      </c>
      <c r="C14" s="246"/>
      <c r="D14" s="246"/>
      <c r="E14" s="246"/>
      <c r="F14" s="246"/>
      <c r="G14" s="207"/>
      <c r="H14" s="207"/>
      <c r="I14" s="207"/>
      <c r="J14" s="207"/>
      <c r="K14" s="207"/>
      <c r="L14" s="246"/>
      <c r="M14" s="246"/>
      <c r="N14" s="207"/>
      <c r="O14" s="207"/>
      <c r="P14" s="207"/>
      <c r="Q14" s="207"/>
      <c r="R14" s="207"/>
      <c r="S14" s="207"/>
      <c r="T14" s="207"/>
      <c r="U14" s="207"/>
      <c r="V14" s="109"/>
      <c r="W14" s="109"/>
      <c r="X14" s="246"/>
      <c r="Y14" s="246"/>
      <c r="Z14" s="207"/>
      <c r="AA14" s="207"/>
      <c r="AB14" s="207"/>
      <c r="AC14" s="207"/>
      <c r="AD14" s="207"/>
      <c r="AE14" s="246"/>
      <c r="AF14" s="246"/>
      <c r="AG14" s="207"/>
      <c r="AH14" s="207"/>
      <c r="AI14" s="207"/>
      <c r="AJ14" s="207"/>
      <c r="AK14" s="207"/>
    </row>
    <row r="15" spans="1:37" ht="13.5">
      <c r="A15" s="232">
        <v>1</v>
      </c>
      <c r="B15" s="250"/>
      <c r="C15" s="232"/>
      <c r="D15" s="246" t="s">
        <v>1</v>
      </c>
      <c r="E15" s="246"/>
      <c r="F15" s="246" t="s">
        <v>1</v>
      </c>
      <c r="G15" s="104"/>
      <c r="H15" s="232"/>
      <c r="I15" s="232"/>
      <c r="J15" s="232"/>
      <c r="K15" s="246">
        <f>H15+I15+J15</f>
        <v>0</v>
      </c>
      <c r="L15" s="246" t="s">
        <v>1</v>
      </c>
      <c r="M15" s="246"/>
      <c r="N15" s="104"/>
      <c r="O15" s="232"/>
      <c r="P15" s="232"/>
      <c r="Q15" s="232"/>
      <c r="R15" s="246">
        <f>O15+P15+Q15</f>
        <v>0</v>
      </c>
      <c r="S15" s="246">
        <f aca="true" t="shared" si="3" ref="S15:V17">G15-N15</f>
        <v>0</v>
      </c>
      <c r="T15" s="246">
        <f t="shared" si="3"/>
        <v>0</v>
      </c>
      <c r="U15" s="246">
        <f t="shared" si="3"/>
        <v>0</v>
      </c>
      <c r="V15" s="246">
        <f t="shared" si="3"/>
        <v>0</v>
      </c>
      <c r="W15" s="246">
        <f>T15+U15+V15</f>
        <v>0</v>
      </c>
      <c r="X15" s="246"/>
      <c r="Y15" s="246" t="s">
        <v>1</v>
      </c>
      <c r="Z15" s="104"/>
      <c r="AA15" s="232"/>
      <c r="AB15" s="232"/>
      <c r="AC15" s="232"/>
      <c r="AD15" s="246">
        <f>AA15+AB15+AC15</f>
        <v>0</v>
      </c>
      <c r="AE15" s="246"/>
      <c r="AF15" s="246" t="s">
        <v>1</v>
      </c>
      <c r="AG15" s="104"/>
      <c r="AH15" s="232"/>
      <c r="AI15" s="232"/>
      <c r="AJ15" s="232"/>
      <c r="AK15" s="246">
        <f>AH15+AI15+AJ15</f>
        <v>0</v>
      </c>
    </row>
    <row r="16" spans="1:37" ht="13.5">
      <c r="A16" s="232">
        <v>2</v>
      </c>
      <c r="B16" s="250"/>
      <c r="C16" s="232"/>
      <c r="D16" s="246" t="s">
        <v>1</v>
      </c>
      <c r="E16" s="246"/>
      <c r="F16" s="246" t="s">
        <v>1</v>
      </c>
      <c r="G16" s="104"/>
      <c r="H16" s="232"/>
      <c r="I16" s="232"/>
      <c r="J16" s="232"/>
      <c r="K16" s="246">
        <f>H16+I16+J16</f>
        <v>0</v>
      </c>
      <c r="L16" s="246" t="s">
        <v>1</v>
      </c>
      <c r="M16" s="246"/>
      <c r="N16" s="104"/>
      <c r="O16" s="232"/>
      <c r="P16" s="232"/>
      <c r="Q16" s="232"/>
      <c r="R16" s="246">
        <f>O16+P16+Q16</f>
        <v>0</v>
      </c>
      <c r="S16" s="246">
        <f t="shared" si="3"/>
        <v>0</v>
      </c>
      <c r="T16" s="246">
        <f t="shared" si="3"/>
        <v>0</v>
      </c>
      <c r="U16" s="246">
        <f t="shared" si="3"/>
        <v>0</v>
      </c>
      <c r="V16" s="246">
        <f t="shared" si="3"/>
        <v>0</v>
      </c>
      <c r="W16" s="246">
        <f>T16+U16+V16</f>
        <v>0</v>
      </c>
      <c r="X16" s="246"/>
      <c r="Y16" s="246" t="s">
        <v>1</v>
      </c>
      <c r="Z16" s="104"/>
      <c r="AA16" s="232"/>
      <c r="AB16" s="232"/>
      <c r="AC16" s="232"/>
      <c r="AD16" s="246">
        <f>AA16+AB16+AC16</f>
        <v>0</v>
      </c>
      <c r="AE16" s="246"/>
      <c r="AF16" s="246" t="s">
        <v>1</v>
      </c>
      <c r="AG16" s="104"/>
      <c r="AH16" s="232"/>
      <c r="AI16" s="232"/>
      <c r="AJ16" s="232"/>
      <c r="AK16" s="246">
        <f>AH16+AI16+AJ16</f>
        <v>0</v>
      </c>
    </row>
    <row r="17" spans="1:37" ht="13.5">
      <c r="A17" s="232">
        <v>3</v>
      </c>
      <c r="B17" s="250"/>
      <c r="C17" s="232"/>
      <c r="D17" s="246" t="s">
        <v>1</v>
      </c>
      <c r="E17" s="246"/>
      <c r="F17" s="246" t="s">
        <v>1</v>
      </c>
      <c r="G17" s="104"/>
      <c r="H17" s="232"/>
      <c r="I17" s="232"/>
      <c r="J17" s="232"/>
      <c r="K17" s="246">
        <f>H17+I17+J17</f>
        <v>0</v>
      </c>
      <c r="L17" s="246" t="s">
        <v>1</v>
      </c>
      <c r="M17" s="246"/>
      <c r="N17" s="104"/>
      <c r="O17" s="232"/>
      <c r="P17" s="232"/>
      <c r="Q17" s="232"/>
      <c r="R17" s="246">
        <f>O17+P17+Q17</f>
        <v>0</v>
      </c>
      <c r="S17" s="246">
        <f t="shared" si="3"/>
        <v>0</v>
      </c>
      <c r="T17" s="246">
        <f t="shared" si="3"/>
        <v>0</v>
      </c>
      <c r="U17" s="246">
        <f t="shared" si="3"/>
        <v>0</v>
      </c>
      <c r="V17" s="246">
        <f t="shared" si="3"/>
        <v>0</v>
      </c>
      <c r="W17" s="246">
        <f>T17+U17+V17</f>
        <v>0</v>
      </c>
      <c r="X17" s="246"/>
      <c r="Y17" s="246" t="s">
        <v>1</v>
      </c>
      <c r="Z17" s="104"/>
      <c r="AA17" s="232"/>
      <c r="AB17" s="232"/>
      <c r="AC17" s="232"/>
      <c r="AD17" s="246">
        <f>AA17+AB17+AC17</f>
        <v>0</v>
      </c>
      <c r="AE17" s="246"/>
      <c r="AF17" s="246" t="s">
        <v>1</v>
      </c>
      <c r="AG17" s="104"/>
      <c r="AH17" s="232"/>
      <c r="AI17" s="232"/>
      <c r="AJ17" s="232"/>
      <c r="AK17" s="246">
        <f>AH17+AI17+AJ17</f>
        <v>0</v>
      </c>
    </row>
    <row r="18" spans="1:37" s="249" customFormat="1" ht="14.25">
      <c r="A18" s="244"/>
      <c r="B18" s="247" t="s">
        <v>110</v>
      </c>
      <c r="C18" s="248" t="s">
        <v>1</v>
      </c>
      <c r="D18" s="248" t="s">
        <v>1</v>
      </c>
      <c r="E18" s="248"/>
      <c r="F18" s="248" t="s">
        <v>1</v>
      </c>
      <c r="G18" s="248">
        <f aca="true" t="shared" si="4" ref="G18:Q18">SUM(G15:G17)</f>
        <v>0</v>
      </c>
      <c r="H18" s="248">
        <f t="shared" si="4"/>
        <v>0</v>
      </c>
      <c r="I18" s="248">
        <f t="shared" si="4"/>
        <v>0</v>
      </c>
      <c r="J18" s="248">
        <f t="shared" si="4"/>
        <v>0</v>
      </c>
      <c r="K18" s="248">
        <f t="shared" si="4"/>
        <v>0</v>
      </c>
      <c r="L18" s="248" t="s">
        <v>1</v>
      </c>
      <c r="M18" s="248" t="s">
        <v>1</v>
      </c>
      <c r="N18" s="248">
        <f t="shared" si="4"/>
        <v>0</v>
      </c>
      <c r="O18" s="248">
        <f t="shared" si="4"/>
        <v>0</v>
      </c>
      <c r="P18" s="248">
        <f t="shared" si="4"/>
        <v>0</v>
      </c>
      <c r="Q18" s="248">
        <f t="shared" si="4"/>
        <v>0</v>
      </c>
      <c r="R18" s="248">
        <f aca="true" t="shared" si="5" ref="R18:W18">SUM(R15:R17)</f>
        <v>0</v>
      </c>
      <c r="S18" s="248">
        <f t="shared" si="5"/>
        <v>0</v>
      </c>
      <c r="T18" s="248">
        <f t="shared" si="5"/>
        <v>0</v>
      </c>
      <c r="U18" s="248">
        <f t="shared" si="5"/>
        <v>0</v>
      </c>
      <c r="V18" s="248">
        <f t="shared" si="5"/>
        <v>0</v>
      </c>
      <c r="W18" s="248">
        <f t="shared" si="5"/>
        <v>0</v>
      </c>
      <c r="X18" s="248"/>
      <c r="Y18" s="248" t="s">
        <v>1</v>
      </c>
      <c r="Z18" s="248">
        <f>SUM(Z15:Z17)</f>
        <v>0</v>
      </c>
      <c r="AA18" s="248">
        <f>SUM(AA15:AA17)</f>
        <v>0</v>
      </c>
      <c r="AB18" s="248">
        <f>SUM(AB15:AB17)</f>
        <v>0</v>
      </c>
      <c r="AC18" s="248">
        <f>SUM(AC15:AC17)</f>
        <v>0</v>
      </c>
      <c r="AD18" s="248">
        <f>SUM(AD15:AD17)</f>
        <v>0</v>
      </c>
      <c r="AE18" s="248"/>
      <c r="AF18" s="248" t="s">
        <v>1</v>
      </c>
      <c r="AG18" s="248">
        <f>SUM(AG15:AG17)</f>
        <v>0</v>
      </c>
      <c r="AH18" s="248">
        <f>SUM(AH15:AH17)</f>
        <v>0</v>
      </c>
      <c r="AI18" s="248">
        <f>SUM(AI15:AI17)</f>
        <v>0</v>
      </c>
      <c r="AJ18" s="248">
        <f>SUM(AJ15:AJ17)</f>
        <v>0</v>
      </c>
      <c r="AK18" s="248">
        <f>SUM(AK15:AK17)</f>
        <v>0</v>
      </c>
    </row>
    <row r="19" spans="1:37" ht="13.5">
      <c r="A19" s="232"/>
      <c r="B19" s="247"/>
      <c r="C19" s="246"/>
      <c r="D19" s="246"/>
      <c r="E19" s="246"/>
      <c r="F19" s="246"/>
      <c r="G19" s="246"/>
      <c r="H19" s="246"/>
      <c r="I19" s="246"/>
      <c r="J19" s="246"/>
      <c r="K19" s="246"/>
      <c r="L19" s="246"/>
      <c r="M19" s="246"/>
      <c r="N19" s="246"/>
      <c r="O19" s="246"/>
      <c r="P19" s="246"/>
      <c r="Q19" s="246"/>
      <c r="R19" s="246"/>
      <c r="S19" s="246"/>
      <c r="T19" s="246"/>
      <c r="U19" s="246"/>
      <c r="V19" s="109"/>
      <c r="W19" s="109"/>
      <c r="X19" s="246"/>
      <c r="Y19" s="246"/>
      <c r="Z19" s="246"/>
      <c r="AA19" s="246"/>
      <c r="AB19" s="246"/>
      <c r="AC19" s="246"/>
      <c r="AD19" s="246"/>
      <c r="AE19" s="246"/>
      <c r="AF19" s="246"/>
      <c r="AG19" s="246"/>
      <c r="AH19" s="246"/>
      <c r="AI19" s="246"/>
      <c r="AJ19" s="246"/>
      <c r="AK19" s="246"/>
    </row>
    <row r="20" spans="1:37" ht="13.5">
      <c r="A20" s="232"/>
      <c r="B20" s="247"/>
      <c r="C20" s="246"/>
      <c r="D20" s="246"/>
      <c r="E20" s="246"/>
      <c r="F20" s="246"/>
      <c r="G20" s="246"/>
      <c r="H20" s="246"/>
      <c r="I20" s="246"/>
      <c r="J20" s="246"/>
      <c r="K20" s="246"/>
      <c r="L20" s="246"/>
      <c r="M20" s="246"/>
      <c r="N20" s="246"/>
      <c r="O20" s="246"/>
      <c r="P20" s="246"/>
      <c r="Q20" s="246"/>
      <c r="R20" s="246"/>
      <c r="S20" s="246"/>
      <c r="T20" s="246"/>
      <c r="U20" s="246"/>
      <c r="V20" s="109"/>
      <c r="W20" s="109"/>
      <c r="X20" s="246"/>
      <c r="Y20" s="246"/>
      <c r="Z20" s="246"/>
      <c r="AA20" s="246"/>
      <c r="AB20" s="246"/>
      <c r="AC20" s="246"/>
      <c r="AD20" s="246"/>
      <c r="AE20" s="246"/>
      <c r="AF20" s="246"/>
      <c r="AG20" s="246"/>
      <c r="AH20" s="246"/>
      <c r="AI20" s="246"/>
      <c r="AJ20" s="246"/>
      <c r="AK20" s="246"/>
    </row>
    <row r="21" spans="1:37" ht="27">
      <c r="A21" s="244" t="s">
        <v>4</v>
      </c>
      <c r="B21" s="245" t="s">
        <v>492</v>
      </c>
      <c r="C21" s="246"/>
      <c r="D21" s="246"/>
      <c r="E21" s="246"/>
      <c r="F21" s="246"/>
      <c r="G21" s="245"/>
      <c r="H21" s="245"/>
      <c r="I21" s="245"/>
      <c r="J21" s="245"/>
      <c r="K21" s="245"/>
      <c r="L21" s="246"/>
      <c r="M21" s="246"/>
      <c r="N21" s="245"/>
      <c r="O21" s="245"/>
      <c r="P21" s="245"/>
      <c r="Q21" s="245"/>
      <c r="R21" s="245"/>
      <c r="S21" s="245"/>
      <c r="T21" s="245"/>
      <c r="U21" s="245"/>
      <c r="V21" s="109"/>
      <c r="W21" s="109"/>
      <c r="X21" s="246"/>
      <c r="Y21" s="246"/>
      <c r="Z21" s="245"/>
      <c r="AA21" s="245"/>
      <c r="AB21" s="245"/>
      <c r="AC21" s="245"/>
      <c r="AD21" s="245"/>
      <c r="AE21" s="246"/>
      <c r="AF21" s="246"/>
      <c r="AG21" s="245"/>
      <c r="AH21" s="245"/>
      <c r="AI21" s="245"/>
      <c r="AJ21" s="245"/>
      <c r="AK21" s="245"/>
    </row>
    <row r="22" spans="1:37" ht="13.5">
      <c r="A22" s="232"/>
      <c r="B22" s="207" t="s">
        <v>193</v>
      </c>
      <c r="C22" s="246"/>
      <c r="D22" s="246"/>
      <c r="E22" s="246"/>
      <c r="F22" s="246"/>
      <c r="G22" s="207"/>
      <c r="H22" s="207"/>
      <c r="I22" s="207"/>
      <c r="J22" s="207"/>
      <c r="K22" s="207"/>
      <c r="L22" s="246"/>
      <c r="M22" s="246"/>
      <c r="N22" s="207"/>
      <c r="O22" s="207"/>
      <c r="P22" s="207"/>
      <c r="Q22" s="207"/>
      <c r="R22" s="207"/>
      <c r="S22" s="207"/>
      <c r="T22" s="207"/>
      <c r="U22" s="207"/>
      <c r="V22" s="109"/>
      <c r="W22" s="109"/>
      <c r="X22" s="246"/>
      <c r="Y22" s="246"/>
      <c r="Z22" s="207"/>
      <c r="AA22" s="207"/>
      <c r="AB22" s="207"/>
      <c r="AC22" s="207"/>
      <c r="AD22" s="207"/>
      <c r="AE22" s="246"/>
      <c r="AF22" s="246"/>
      <c r="AG22" s="207"/>
      <c r="AH22" s="207"/>
      <c r="AI22" s="207"/>
      <c r="AJ22" s="207"/>
      <c r="AK22" s="207"/>
    </row>
    <row r="23" spans="1:37" ht="13.5">
      <c r="A23" s="232"/>
      <c r="B23" s="207" t="s">
        <v>226</v>
      </c>
      <c r="C23" s="246"/>
      <c r="D23" s="246"/>
      <c r="E23" s="246"/>
      <c r="F23" s="246"/>
      <c r="G23" s="207"/>
      <c r="H23" s="207"/>
      <c r="I23" s="207"/>
      <c r="J23" s="207"/>
      <c r="K23" s="207"/>
      <c r="L23" s="246"/>
      <c r="M23" s="246"/>
      <c r="N23" s="207"/>
      <c r="O23" s="207"/>
      <c r="P23" s="207"/>
      <c r="Q23" s="207"/>
      <c r="R23" s="207"/>
      <c r="S23" s="207"/>
      <c r="T23" s="207"/>
      <c r="U23" s="207"/>
      <c r="V23" s="109"/>
      <c r="W23" s="109"/>
      <c r="X23" s="246"/>
      <c r="Y23" s="246"/>
      <c r="Z23" s="207"/>
      <c r="AA23" s="207"/>
      <c r="AB23" s="207"/>
      <c r="AC23" s="207"/>
      <c r="AD23" s="207"/>
      <c r="AE23" s="246"/>
      <c r="AF23" s="246"/>
      <c r="AG23" s="207"/>
      <c r="AH23" s="207"/>
      <c r="AI23" s="207"/>
      <c r="AJ23" s="207"/>
      <c r="AK23" s="207"/>
    </row>
    <row r="24" spans="1:37" ht="13.5">
      <c r="A24" s="232"/>
      <c r="B24" s="207" t="s">
        <v>227</v>
      </c>
      <c r="C24" s="246"/>
      <c r="D24" s="246"/>
      <c r="E24" s="246"/>
      <c r="F24" s="246"/>
      <c r="G24" s="207"/>
      <c r="H24" s="207"/>
      <c r="I24" s="207"/>
      <c r="J24" s="207"/>
      <c r="K24" s="207"/>
      <c r="L24" s="246"/>
      <c r="M24" s="246"/>
      <c r="N24" s="207"/>
      <c r="O24" s="207"/>
      <c r="P24" s="207"/>
      <c r="Q24" s="207"/>
      <c r="R24" s="207"/>
      <c r="S24" s="207"/>
      <c r="T24" s="207"/>
      <c r="U24" s="207"/>
      <c r="V24" s="109"/>
      <c r="W24" s="109"/>
      <c r="X24" s="246"/>
      <c r="Y24" s="246"/>
      <c r="Z24" s="207"/>
      <c r="AA24" s="207"/>
      <c r="AB24" s="207"/>
      <c r="AC24" s="207"/>
      <c r="AD24" s="207"/>
      <c r="AE24" s="246"/>
      <c r="AF24" s="246"/>
      <c r="AG24" s="207"/>
      <c r="AH24" s="207"/>
      <c r="AI24" s="207"/>
      <c r="AJ24" s="207"/>
      <c r="AK24" s="207"/>
    </row>
    <row r="25" spans="1:37" ht="13.5">
      <c r="A25" s="232">
        <v>1</v>
      </c>
      <c r="B25" s="104"/>
      <c r="C25" s="232"/>
      <c r="D25" s="246"/>
      <c r="E25" s="246"/>
      <c r="F25" s="246"/>
      <c r="G25" s="104"/>
      <c r="H25" s="232"/>
      <c r="I25" s="232"/>
      <c r="J25" s="232"/>
      <c r="K25" s="246">
        <f>H25+I25+J25</f>
        <v>0</v>
      </c>
      <c r="L25" s="246"/>
      <c r="M25" s="246"/>
      <c r="N25" s="104"/>
      <c r="O25" s="232"/>
      <c r="P25" s="232"/>
      <c r="Q25" s="232"/>
      <c r="R25" s="246">
        <f>O25+P25+Q25</f>
        <v>0</v>
      </c>
      <c r="S25" s="246">
        <f aca="true" t="shared" si="6" ref="S25:V27">G25-N25</f>
        <v>0</v>
      </c>
      <c r="T25" s="246">
        <f t="shared" si="6"/>
        <v>0</v>
      </c>
      <c r="U25" s="246">
        <f t="shared" si="6"/>
        <v>0</v>
      </c>
      <c r="V25" s="246">
        <f t="shared" si="6"/>
        <v>0</v>
      </c>
      <c r="W25" s="246">
        <f>T25+U25+V25</f>
        <v>0</v>
      </c>
      <c r="X25" s="246"/>
      <c r="Y25" s="246"/>
      <c r="Z25" s="104"/>
      <c r="AA25" s="232"/>
      <c r="AB25" s="232"/>
      <c r="AC25" s="232"/>
      <c r="AD25" s="246">
        <f>AA25+AB25+AC25</f>
        <v>0</v>
      </c>
      <c r="AE25" s="246"/>
      <c r="AF25" s="246"/>
      <c r="AG25" s="104"/>
      <c r="AH25" s="232"/>
      <c r="AI25" s="232"/>
      <c r="AJ25" s="232"/>
      <c r="AK25" s="246">
        <f>AH25+AI25+AJ25</f>
        <v>0</v>
      </c>
    </row>
    <row r="26" spans="1:37" ht="13.5">
      <c r="A26" s="232">
        <v>2</v>
      </c>
      <c r="B26" s="104"/>
      <c r="C26" s="232"/>
      <c r="D26" s="246"/>
      <c r="E26" s="246"/>
      <c r="F26" s="246"/>
      <c r="G26" s="104"/>
      <c r="H26" s="232"/>
      <c r="I26" s="232"/>
      <c r="J26" s="232"/>
      <c r="K26" s="246">
        <f>H26+I26+J26</f>
        <v>0</v>
      </c>
      <c r="L26" s="246"/>
      <c r="M26" s="246"/>
      <c r="N26" s="104"/>
      <c r="O26" s="232"/>
      <c r="P26" s="232"/>
      <c r="Q26" s="232"/>
      <c r="R26" s="246">
        <f>O26+P26+Q26</f>
        <v>0</v>
      </c>
      <c r="S26" s="246">
        <f t="shared" si="6"/>
        <v>0</v>
      </c>
      <c r="T26" s="246">
        <f t="shared" si="6"/>
        <v>0</v>
      </c>
      <c r="U26" s="246">
        <f t="shared" si="6"/>
        <v>0</v>
      </c>
      <c r="V26" s="246">
        <f t="shared" si="6"/>
        <v>0</v>
      </c>
      <c r="W26" s="246">
        <f>T26+U26+V26</f>
        <v>0</v>
      </c>
      <c r="X26" s="246"/>
      <c r="Y26" s="246"/>
      <c r="Z26" s="104"/>
      <c r="AA26" s="232"/>
      <c r="AB26" s="232"/>
      <c r="AC26" s="232"/>
      <c r="AD26" s="246">
        <f>AA26+AB26+AC26</f>
        <v>0</v>
      </c>
      <c r="AE26" s="246"/>
      <c r="AF26" s="246"/>
      <c r="AG26" s="104"/>
      <c r="AH26" s="232"/>
      <c r="AI26" s="232"/>
      <c r="AJ26" s="232"/>
      <c r="AK26" s="246">
        <f>AH26+AI26+AJ26</f>
        <v>0</v>
      </c>
    </row>
    <row r="27" spans="1:37" ht="13.5">
      <c r="A27" s="232">
        <v>3</v>
      </c>
      <c r="B27" s="247"/>
      <c r="C27" s="232"/>
      <c r="D27" s="246"/>
      <c r="E27" s="246"/>
      <c r="F27" s="246"/>
      <c r="G27" s="104"/>
      <c r="H27" s="232"/>
      <c r="I27" s="232"/>
      <c r="J27" s="232"/>
      <c r="K27" s="246">
        <f>H27+I27+J27</f>
        <v>0</v>
      </c>
      <c r="L27" s="246"/>
      <c r="M27" s="246"/>
      <c r="N27" s="104"/>
      <c r="O27" s="232"/>
      <c r="P27" s="232"/>
      <c r="Q27" s="232"/>
      <c r="R27" s="246">
        <f>O27+P27+Q27</f>
        <v>0</v>
      </c>
      <c r="S27" s="246">
        <f t="shared" si="6"/>
        <v>0</v>
      </c>
      <c r="T27" s="246">
        <f t="shared" si="6"/>
        <v>0</v>
      </c>
      <c r="U27" s="246">
        <f t="shared" si="6"/>
        <v>0</v>
      </c>
      <c r="V27" s="246">
        <f t="shared" si="6"/>
        <v>0</v>
      </c>
      <c r="W27" s="246">
        <f>T27+U27+V27</f>
        <v>0</v>
      </c>
      <c r="X27" s="246"/>
      <c r="Y27" s="246"/>
      <c r="Z27" s="104"/>
      <c r="AA27" s="232"/>
      <c r="AB27" s="232"/>
      <c r="AC27" s="232"/>
      <c r="AD27" s="246">
        <f>AA27+AB27+AC27</f>
        <v>0</v>
      </c>
      <c r="AE27" s="246"/>
      <c r="AF27" s="246"/>
      <c r="AG27" s="104"/>
      <c r="AH27" s="232"/>
      <c r="AI27" s="232"/>
      <c r="AJ27" s="232"/>
      <c r="AK27" s="246">
        <f>AH27+AI27+AJ27</f>
        <v>0</v>
      </c>
    </row>
    <row r="28" spans="1:37" s="249" customFormat="1" ht="27">
      <c r="A28" s="244"/>
      <c r="B28" s="252" t="s">
        <v>228</v>
      </c>
      <c r="C28" s="248" t="s">
        <v>1</v>
      </c>
      <c r="D28" s="248" t="s">
        <v>1</v>
      </c>
      <c r="E28" s="248" t="s">
        <v>1</v>
      </c>
      <c r="F28" s="248" t="s">
        <v>1</v>
      </c>
      <c r="G28" s="248">
        <f>SUM(G25:G27)</f>
        <v>0</v>
      </c>
      <c r="H28" s="248">
        <f aca="true" t="shared" si="7" ref="H28:W28">SUM(H25:H27)</f>
        <v>0</v>
      </c>
      <c r="I28" s="248">
        <f t="shared" si="7"/>
        <v>0</v>
      </c>
      <c r="J28" s="248">
        <f t="shared" si="7"/>
        <v>0</v>
      </c>
      <c r="K28" s="248">
        <f t="shared" si="7"/>
        <v>0</v>
      </c>
      <c r="L28" s="248" t="s">
        <v>1</v>
      </c>
      <c r="M28" s="248" t="s">
        <v>1</v>
      </c>
      <c r="N28" s="248">
        <f t="shared" si="7"/>
        <v>0</v>
      </c>
      <c r="O28" s="248">
        <f t="shared" si="7"/>
        <v>0</v>
      </c>
      <c r="P28" s="248">
        <f t="shared" si="7"/>
        <v>0</v>
      </c>
      <c r="Q28" s="248">
        <f t="shared" si="7"/>
        <v>0</v>
      </c>
      <c r="R28" s="248">
        <f t="shared" si="7"/>
        <v>0</v>
      </c>
      <c r="S28" s="248">
        <f t="shared" si="7"/>
        <v>0</v>
      </c>
      <c r="T28" s="248">
        <f t="shared" si="7"/>
        <v>0</v>
      </c>
      <c r="U28" s="248">
        <f t="shared" si="7"/>
        <v>0</v>
      </c>
      <c r="V28" s="248">
        <f t="shared" si="7"/>
        <v>0</v>
      </c>
      <c r="W28" s="248">
        <f t="shared" si="7"/>
        <v>0</v>
      </c>
      <c r="X28" s="248" t="s">
        <v>1</v>
      </c>
      <c r="Y28" s="248" t="s">
        <v>1</v>
      </c>
      <c r="Z28" s="248">
        <f>SUM(Z25:Z27)</f>
        <v>0</v>
      </c>
      <c r="AA28" s="248">
        <f>SUM(AA25:AA27)</f>
        <v>0</v>
      </c>
      <c r="AB28" s="248">
        <f>SUM(AB25:AB27)</f>
        <v>0</v>
      </c>
      <c r="AC28" s="248">
        <f>SUM(AC25:AC27)</f>
        <v>0</v>
      </c>
      <c r="AD28" s="248">
        <f>SUM(AD25:AD27)</f>
        <v>0</v>
      </c>
      <c r="AE28" s="248" t="s">
        <v>1</v>
      </c>
      <c r="AF28" s="248" t="s">
        <v>1</v>
      </c>
      <c r="AG28" s="248">
        <f>SUM(AG25:AG27)</f>
        <v>0</v>
      </c>
      <c r="AH28" s="248">
        <f>SUM(AH25:AH27)</f>
        <v>0</v>
      </c>
      <c r="AI28" s="248">
        <f>SUM(AI25:AI27)</f>
        <v>0</v>
      </c>
      <c r="AJ28" s="248">
        <f>SUM(AJ25:AJ27)</f>
        <v>0</v>
      </c>
      <c r="AK28" s="248">
        <f>SUM(AK25:AK27)</f>
        <v>0</v>
      </c>
    </row>
    <row r="29" spans="1:37" ht="13.5">
      <c r="A29" s="232"/>
      <c r="B29" s="207" t="s">
        <v>227</v>
      </c>
      <c r="C29" s="246"/>
      <c r="D29" s="246"/>
      <c r="E29" s="246"/>
      <c r="F29" s="246"/>
      <c r="G29" s="207"/>
      <c r="H29" s="207"/>
      <c r="I29" s="207"/>
      <c r="J29" s="207"/>
      <c r="K29" s="207"/>
      <c r="L29" s="246"/>
      <c r="M29" s="246"/>
      <c r="N29" s="207"/>
      <c r="O29" s="207"/>
      <c r="P29" s="207"/>
      <c r="Q29" s="207"/>
      <c r="R29" s="207"/>
      <c r="S29" s="207"/>
      <c r="T29" s="207"/>
      <c r="U29" s="207"/>
      <c r="V29" s="109"/>
      <c r="W29" s="109"/>
      <c r="X29" s="246"/>
      <c r="Y29" s="246"/>
      <c r="Z29" s="207"/>
      <c r="AA29" s="207"/>
      <c r="AB29" s="207"/>
      <c r="AC29" s="207"/>
      <c r="AD29" s="207"/>
      <c r="AE29" s="246"/>
      <c r="AF29" s="246"/>
      <c r="AG29" s="207"/>
      <c r="AH29" s="207"/>
      <c r="AI29" s="207"/>
      <c r="AJ29" s="207"/>
      <c r="AK29" s="207"/>
    </row>
    <row r="30" spans="1:37" ht="13.5">
      <c r="A30" s="232">
        <v>1</v>
      </c>
      <c r="B30" s="104"/>
      <c r="C30" s="232"/>
      <c r="D30" s="246"/>
      <c r="E30" s="246"/>
      <c r="F30" s="246"/>
      <c r="G30" s="104"/>
      <c r="H30" s="232"/>
      <c r="I30" s="232"/>
      <c r="J30" s="232"/>
      <c r="K30" s="246">
        <f>H30+I30+J30</f>
        <v>0</v>
      </c>
      <c r="L30" s="246"/>
      <c r="M30" s="246"/>
      <c r="N30" s="104"/>
      <c r="O30" s="232"/>
      <c r="P30" s="232"/>
      <c r="Q30" s="232"/>
      <c r="R30" s="246">
        <f>O30+P30+Q30</f>
        <v>0</v>
      </c>
      <c r="S30" s="246">
        <f aca="true" t="shared" si="8" ref="S30:V32">G30-N30</f>
        <v>0</v>
      </c>
      <c r="T30" s="246">
        <f t="shared" si="8"/>
        <v>0</v>
      </c>
      <c r="U30" s="246">
        <f t="shared" si="8"/>
        <v>0</v>
      </c>
      <c r="V30" s="246">
        <f t="shared" si="8"/>
        <v>0</v>
      </c>
      <c r="W30" s="246">
        <f>T30+U30+V30</f>
        <v>0</v>
      </c>
      <c r="X30" s="246"/>
      <c r="Y30" s="246"/>
      <c r="Z30" s="104"/>
      <c r="AA30" s="232"/>
      <c r="AB30" s="232"/>
      <c r="AC30" s="232"/>
      <c r="AD30" s="246">
        <f>AA30+AB30+AC30</f>
        <v>0</v>
      </c>
      <c r="AE30" s="246"/>
      <c r="AF30" s="246"/>
      <c r="AG30" s="104"/>
      <c r="AH30" s="232"/>
      <c r="AI30" s="232"/>
      <c r="AJ30" s="232"/>
      <c r="AK30" s="246">
        <f>AH30+AI30+AJ30</f>
        <v>0</v>
      </c>
    </row>
    <row r="31" spans="1:37" ht="13.5">
      <c r="A31" s="232">
        <v>2</v>
      </c>
      <c r="B31" s="104"/>
      <c r="C31" s="232"/>
      <c r="D31" s="246"/>
      <c r="E31" s="246"/>
      <c r="F31" s="246"/>
      <c r="G31" s="104"/>
      <c r="H31" s="232"/>
      <c r="I31" s="232"/>
      <c r="J31" s="232"/>
      <c r="K31" s="246">
        <f>H31+I31+J31</f>
        <v>0</v>
      </c>
      <c r="L31" s="246"/>
      <c r="M31" s="246"/>
      <c r="N31" s="104"/>
      <c r="O31" s="232"/>
      <c r="P31" s="232"/>
      <c r="Q31" s="232"/>
      <c r="R31" s="246">
        <f>O31+P31+Q31</f>
        <v>0</v>
      </c>
      <c r="S31" s="246">
        <f t="shared" si="8"/>
        <v>0</v>
      </c>
      <c r="T31" s="246">
        <f t="shared" si="8"/>
        <v>0</v>
      </c>
      <c r="U31" s="246">
        <f t="shared" si="8"/>
        <v>0</v>
      </c>
      <c r="V31" s="246">
        <f t="shared" si="8"/>
        <v>0</v>
      </c>
      <c r="W31" s="246">
        <f>T31+U31+V31</f>
        <v>0</v>
      </c>
      <c r="X31" s="246"/>
      <c r="Y31" s="246"/>
      <c r="Z31" s="104"/>
      <c r="AA31" s="232"/>
      <c r="AB31" s="232"/>
      <c r="AC31" s="232"/>
      <c r="AD31" s="246">
        <f>AA31+AB31+AC31</f>
        <v>0</v>
      </c>
      <c r="AE31" s="246"/>
      <c r="AF31" s="246"/>
      <c r="AG31" s="104"/>
      <c r="AH31" s="232"/>
      <c r="AI31" s="232"/>
      <c r="AJ31" s="232"/>
      <c r="AK31" s="246">
        <f>AH31+AI31+AJ31</f>
        <v>0</v>
      </c>
    </row>
    <row r="32" spans="1:37" ht="13.5">
      <c r="A32" s="232">
        <v>3</v>
      </c>
      <c r="B32" s="247"/>
      <c r="C32" s="232"/>
      <c r="D32" s="246"/>
      <c r="E32" s="246"/>
      <c r="F32" s="246"/>
      <c r="G32" s="104"/>
      <c r="H32" s="232"/>
      <c r="I32" s="232"/>
      <c r="J32" s="232"/>
      <c r="K32" s="246">
        <f>H32+I32+J32</f>
        <v>0</v>
      </c>
      <c r="L32" s="246"/>
      <c r="M32" s="246"/>
      <c r="N32" s="104"/>
      <c r="O32" s="232"/>
      <c r="P32" s="232"/>
      <c r="Q32" s="232"/>
      <c r="R32" s="246">
        <f>O32+P32+Q32</f>
        <v>0</v>
      </c>
      <c r="S32" s="246">
        <f t="shared" si="8"/>
        <v>0</v>
      </c>
      <c r="T32" s="246">
        <f t="shared" si="8"/>
        <v>0</v>
      </c>
      <c r="U32" s="246">
        <f t="shared" si="8"/>
        <v>0</v>
      </c>
      <c r="V32" s="246">
        <f t="shared" si="8"/>
        <v>0</v>
      </c>
      <c r="W32" s="246">
        <f>T32+U32+V32</f>
        <v>0</v>
      </c>
      <c r="X32" s="246"/>
      <c r="Y32" s="246"/>
      <c r="Z32" s="104"/>
      <c r="AA32" s="232"/>
      <c r="AB32" s="232"/>
      <c r="AC32" s="232"/>
      <c r="AD32" s="246">
        <f>AA32+AB32+AC32</f>
        <v>0</v>
      </c>
      <c r="AE32" s="246"/>
      <c r="AF32" s="246"/>
      <c r="AG32" s="104"/>
      <c r="AH32" s="232"/>
      <c r="AI32" s="232"/>
      <c r="AJ32" s="232"/>
      <c r="AK32" s="246">
        <f>AH32+AI32+AJ32</f>
        <v>0</v>
      </c>
    </row>
    <row r="33" spans="1:37" s="249" customFormat="1" ht="27">
      <c r="A33" s="244"/>
      <c r="B33" s="252" t="s">
        <v>228</v>
      </c>
      <c r="C33" s="248" t="s">
        <v>1</v>
      </c>
      <c r="D33" s="248" t="s">
        <v>1</v>
      </c>
      <c r="E33" s="248" t="s">
        <v>1</v>
      </c>
      <c r="F33" s="248" t="s">
        <v>1</v>
      </c>
      <c r="G33" s="248">
        <f aca="true" t="shared" si="9" ref="G33:Q33">SUM(G30:G32)</f>
        <v>0</v>
      </c>
      <c r="H33" s="248">
        <f t="shared" si="9"/>
        <v>0</v>
      </c>
      <c r="I33" s="248">
        <f t="shared" si="9"/>
        <v>0</v>
      </c>
      <c r="J33" s="248">
        <f t="shared" si="9"/>
        <v>0</v>
      </c>
      <c r="K33" s="248">
        <f t="shared" si="9"/>
        <v>0</v>
      </c>
      <c r="L33" s="248" t="s">
        <v>1</v>
      </c>
      <c r="M33" s="248" t="s">
        <v>1</v>
      </c>
      <c r="N33" s="248">
        <f t="shared" si="9"/>
        <v>0</v>
      </c>
      <c r="O33" s="248">
        <f t="shared" si="9"/>
        <v>0</v>
      </c>
      <c r="P33" s="248">
        <f t="shared" si="9"/>
        <v>0</v>
      </c>
      <c r="Q33" s="248">
        <f t="shared" si="9"/>
        <v>0</v>
      </c>
      <c r="R33" s="248">
        <f aca="true" t="shared" si="10" ref="R33:W33">SUM(R30:R32)</f>
        <v>0</v>
      </c>
      <c r="S33" s="248">
        <f t="shared" si="10"/>
        <v>0</v>
      </c>
      <c r="T33" s="248">
        <f t="shared" si="10"/>
        <v>0</v>
      </c>
      <c r="U33" s="248">
        <f t="shared" si="10"/>
        <v>0</v>
      </c>
      <c r="V33" s="248">
        <f t="shared" si="10"/>
        <v>0</v>
      </c>
      <c r="W33" s="248">
        <f t="shared" si="10"/>
        <v>0</v>
      </c>
      <c r="X33" s="248" t="s">
        <v>1</v>
      </c>
      <c r="Y33" s="248" t="s">
        <v>1</v>
      </c>
      <c r="Z33" s="248">
        <f>SUM(Z30:Z32)</f>
        <v>0</v>
      </c>
      <c r="AA33" s="248">
        <f>SUM(AA30:AA32)</f>
        <v>0</v>
      </c>
      <c r="AB33" s="248">
        <f>SUM(AB30:AB32)</f>
        <v>0</v>
      </c>
      <c r="AC33" s="248">
        <f>SUM(AC30:AC32)</f>
        <v>0</v>
      </c>
      <c r="AD33" s="248">
        <f>SUM(AD30:AD32)</f>
        <v>0</v>
      </c>
      <c r="AE33" s="248" t="s">
        <v>1</v>
      </c>
      <c r="AF33" s="248" t="s">
        <v>1</v>
      </c>
      <c r="AG33" s="248">
        <f>SUM(AG30:AG32)</f>
        <v>0</v>
      </c>
      <c r="AH33" s="248">
        <f>SUM(AH30:AH32)</f>
        <v>0</v>
      </c>
      <c r="AI33" s="248">
        <f>SUM(AI30:AI32)</f>
        <v>0</v>
      </c>
      <c r="AJ33" s="248">
        <f>SUM(AJ30:AJ32)</f>
        <v>0</v>
      </c>
      <c r="AK33" s="248">
        <f>SUM(AK30:AK32)</f>
        <v>0</v>
      </c>
    </row>
    <row r="34" spans="1:37" s="249" customFormat="1" ht="27">
      <c r="A34" s="244"/>
      <c r="B34" s="252" t="s">
        <v>232</v>
      </c>
      <c r="C34" s="248" t="s">
        <v>1</v>
      </c>
      <c r="D34" s="248" t="s">
        <v>1</v>
      </c>
      <c r="E34" s="248" t="s">
        <v>1</v>
      </c>
      <c r="F34" s="248" t="s">
        <v>1</v>
      </c>
      <c r="G34" s="248">
        <f>G28+G33</f>
        <v>0</v>
      </c>
      <c r="H34" s="248">
        <f aca="true" t="shared" si="11" ref="H34:W34">H28+H33</f>
        <v>0</v>
      </c>
      <c r="I34" s="248">
        <f t="shared" si="11"/>
        <v>0</v>
      </c>
      <c r="J34" s="248">
        <f t="shared" si="11"/>
        <v>0</v>
      </c>
      <c r="K34" s="248">
        <f t="shared" si="11"/>
        <v>0</v>
      </c>
      <c r="L34" s="248" t="s">
        <v>1</v>
      </c>
      <c r="M34" s="248" t="s">
        <v>1</v>
      </c>
      <c r="N34" s="248">
        <f t="shared" si="11"/>
        <v>0</v>
      </c>
      <c r="O34" s="248">
        <f t="shared" si="11"/>
        <v>0</v>
      </c>
      <c r="P34" s="248">
        <f t="shared" si="11"/>
        <v>0</v>
      </c>
      <c r="Q34" s="248">
        <f t="shared" si="11"/>
        <v>0</v>
      </c>
      <c r="R34" s="248">
        <f t="shared" si="11"/>
        <v>0</v>
      </c>
      <c r="S34" s="248">
        <f t="shared" si="11"/>
        <v>0</v>
      </c>
      <c r="T34" s="248">
        <f t="shared" si="11"/>
        <v>0</v>
      </c>
      <c r="U34" s="248">
        <f t="shared" si="11"/>
        <v>0</v>
      </c>
      <c r="V34" s="248">
        <f t="shared" si="11"/>
        <v>0</v>
      </c>
      <c r="W34" s="248">
        <f t="shared" si="11"/>
        <v>0</v>
      </c>
      <c r="X34" s="248" t="s">
        <v>1</v>
      </c>
      <c r="Y34" s="248" t="s">
        <v>1</v>
      </c>
      <c r="Z34" s="248">
        <f>Z28+Z33</f>
        <v>0</v>
      </c>
      <c r="AA34" s="248">
        <f>AA28+AA33</f>
        <v>0</v>
      </c>
      <c r="AB34" s="248">
        <f>AB28+AB33</f>
        <v>0</v>
      </c>
      <c r="AC34" s="248">
        <f>AC28+AC33</f>
        <v>0</v>
      </c>
      <c r="AD34" s="248">
        <f>AD28+AD33</f>
        <v>0</v>
      </c>
      <c r="AE34" s="248" t="s">
        <v>1</v>
      </c>
      <c r="AF34" s="248" t="s">
        <v>1</v>
      </c>
      <c r="AG34" s="248">
        <f>AG28+AG33</f>
        <v>0</v>
      </c>
      <c r="AH34" s="248">
        <f>AH28+AH33</f>
        <v>0</v>
      </c>
      <c r="AI34" s="248">
        <f>AI28+AI33</f>
        <v>0</v>
      </c>
      <c r="AJ34" s="248">
        <f>AJ28+AJ33</f>
        <v>0</v>
      </c>
      <c r="AK34" s="248">
        <f>AK28+AK33</f>
        <v>0</v>
      </c>
    </row>
    <row r="35" spans="1:37" ht="13.5">
      <c r="A35" s="232"/>
      <c r="B35" s="247"/>
      <c r="C35" s="246"/>
      <c r="D35" s="246"/>
      <c r="E35" s="246"/>
      <c r="F35" s="246"/>
      <c r="G35" s="247"/>
      <c r="H35" s="247"/>
      <c r="I35" s="247"/>
      <c r="J35" s="247"/>
      <c r="K35" s="247"/>
      <c r="L35" s="246"/>
      <c r="M35" s="246"/>
      <c r="N35" s="247"/>
      <c r="O35" s="247"/>
      <c r="P35" s="247"/>
      <c r="Q35" s="247"/>
      <c r="R35" s="247"/>
      <c r="S35" s="247"/>
      <c r="T35" s="247"/>
      <c r="U35" s="247"/>
      <c r="V35" s="109"/>
      <c r="W35" s="109"/>
      <c r="X35" s="246"/>
      <c r="Y35" s="246"/>
      <c r="Z35" s="247"/>
      <c r="AA35" s="247"/>
      <c r="AB35" s="247"/>
      <c r="AC35" s="247"/>
      <c r="AD35" s="247"/>
      <c r="AE35" s="246"/>
      <c r="AF35" s="246"/>
      <c r="AG35" s="247"/>
      <c r="AH35" s="247"/>
      <c r="AI35" s="247"/>
      <c r="AJ35" s="247"/>
      <c r="AK35" s="247"/>
    </row>
    <row r="36" spans="1:37" ht="27">
      <c r="A36" s="244" t="s">
        <v>341</v>
      </c>
      <c r="B36" s="245" t="s">
        <v>491</v>
      </c>
      <c r="C36" s="258"/>
      <c r="D36" s="246"/>
      <c r="E36" s="246"/>
      <c r="F36" s="246"/>
      <c r="G36" s="246"/>
      <c r="H36" s="246"/>
      <c r="I36" s="246"/>
      <c r="J36" s="246"/>
      <c r="K36" s="246"/>
      <c r="L36" s="246"/>
      <c r="M36" s="246"/>
      <c r="N36" s="246"/>
      <c r="O36" s="246"/>
      <c r="P36" s="246"/>
      <c r="Q36" s="72"/>
      <c r="R36" s="246"/>
      <c r="S36" s="246"/>
      <c r="T36" s="246"/>
      <c r="U36" s="246"/>
      <c r="V36" s="109"/>
      <c r="W36" s="109"/>
      <c r="X36" s="246"/>
      <c r="Y36" s="246"/>
      <c r="Z36" s="246"/>
      <c r="AA36" s="246"/>
      <c r="AB36" s="246"/>
      <c r="AC36" s="246"/>
      <c r="AD36" s="246"/>
      <c r="AE36" s="246"/>
      <c r="AF36" s="246"/>
      <c r="AG36" s="246"/>
      <c r="AH36" s="246"/>
      <c r="AI36" s="246"/>
      <c r="AJ36" s="246"/>
      <c r="AK36" s="246"/>
    </row>
    <row r="37" spans="1:37" ht="13.5">
      <c r="A37" s="232"/>
      <c r="B37" s="207" t="s">
        <v>123</v>
      </c>
      <c r="C37" s="246"/>
      <c r="D37" s="246"/>
      <c r="E37" s="246"/>
      <c r="F37" s="246"/>
      <c r="G37" s="207"/>
      <c r="H37" s="207"/>
      <c r="I37" s="207"/>
      <c r="J37" s="207"/>
      <c r="K37" s="207"/>
      <c r="L37" s="246"/>
      <c r="M37" s="207"/>
      <c r="N37" s="207"/>
      <c r="O37" s="207"/>
      <c r="P37" s="207"/>
      <c r="Q37" s="207"/>
      <c r="R37" s="207"/>
      <c r="S37" s="207"/>
      <c r="T37" s="207"/>
      <c r="U37" s="207"/>
      <c r="V37" s="109"/>
      <c r="W37" s="109"/>
      <c r="X37" s="246"/>
      <c r="Y37" s="246"/>
      <c r="Z37" s="207"/>
      <c r="AA37" s="207"/>
      <c r="AB37" s="207"/>
      <c r="AC37" s="207"/>
      <c r="AD37" s="207"/>
      <c r="AE37" s="246"/>
      <c r="AF37" s="246"/>
      <c r="AG37" s="207"/>
      <c r="AH37" s="207"/>
      <c r="AI37" s="207"/>
      <c r="AJ37" s="207"/>
      <c r="AK37" s="207"/>
    </row>
    <row r="38" spans="1:37" ht="13.5">
      <c r="A38" s="232"/>
      <c r="B38" s="207" t="s">
        <v>226</v>
      </c>
      <c r="C38" s="246"/>
      <c r="D38" s="246"/>
      <c r="E38" s="246"/>
      <c r="F38" s="246"/>
      <c r="G38" s="207"/>
      <c r="H38" s="207"/>
      <c r="I38" s="207"/>
      <c r="J38" s="207"/>
      <c r="K38" s="207"/>
      <c r="L38" s="246"/>
      <c r="M38" s="207"/>
      <c r="N38" s="207"/>
      <c r="O38" s="207"/>
      <c r="P38" s="207"/>
      <c r="Q38" s="207"/>
      <c r="R38" s="207"/>
      <c r="S38" s="207"/>
      <c r="T38" s="207"/>
      <c r="U38" s="207"/>
      <c r="V38" s="109"/>
      <c r="W38" s="109"/>
      <c r="X38" s="246"/>
      <c r="Y38" s="246"/>
      <c r="Z38" s="207"/>
      <c r="AA38" s="207"/>
      <c r="AB38" s="207"/>
      <c r="AC38" s="207"/>
      <c r="AD38" s="207"/>
      <c r="AE38" s="246"/>
      <c r="AF38" s="246"/>
      <c r="AG38" s="207"/>
      <c r="AH38" s="207"/>
      <c r="AI38" s="207"/>
      <c r="AJ38" s="207"/>
      <c r="AK38" s="207"/>
    </row>
    <row r="39" spans="1:37" ht="13.5">
      <c r="A39" s="232"/>
      <c r="B39" s="207" t="s">
        <v>227</v>
      </c>
      <c r="C39" s="246"/>
      <c r="D39" s="246"/>
      <c r="E39" s="246"/>
      <c r="F39" s="246"/>
      <c r="G39" s="207"/>
      <c r="H39" s="207"/>
      <c r="I39" s="207"/>
      <c r="J39" s="207"/>
      <c r="K39" s="207"/>
      <c r="L39" s="246"/>
      <c r="M39" s="207"/>
      <c r="N39" s="207"/>
      <c r="O39" s="207"/>
      <c r="P39" s="207"/>
      <c r="Q39" s="207"/>
      <c r="R39" s="207"/>
      <c r="S39" s="207"/>
      <c r="T39" s="207"/>
      <c r="U39" s="207"/>
      <c r="V39" s="109"/>
      <c r="W39" s="109"/>
      <c r="X39" s="246"/>
      <c r="Y39" s="246"/>
      <c r="Z39" s="207"/>
      <c r="AA39" s="207"/>
      <c r="AB39" s="207"/>
      <c r="AC39" s="207"/>
      <c r="AD39" s="207"/>
      <c r="AE39" s="246"/>
      <c r="AF39" s="246"/>
      <c r="AG39" s="207"/>
      <c r="AH39" s="207"/>
      <c r="AI39" s="207"/>
      <c r="AJ39" s="207"/>
      <c r="AK39" s="207"/>
    </row>
    <row r="40" spans="1:37" ht="13.5">
      <c r="A40" s="232">
        <v>1</v>
      </c>
      <c r="B40" s="104"/>
      <c r="C40" s="232"/>
      <c r="D40" s="232"/>
      <c r="E40" s="232"/>
      <c r="F40" s="232"/>
      <c r="G40" s="104"/>
      <c r="H40" s="104"/>
      <c r="I40" s="104"/>
      <c r="J40" s="104"/>
      <c r="K40" s="246">
        <f>H40+I40+J40</f>
        <v>0</v>
      </c>
      <c r="L40" s="232"/>
      <c r="M40" s="246"/>
      <c r="N40" s="104"/>
      <c r="O40" s="232"/>
      <c r="P40" s="232"/>
      <c r="Q40" s="232"/>
      <c r="R40" s="246">
        <f>O40+P40+Q40</f>
        <v>0</v>
      </c>
      <c r="S40" s="246">
        <f aca="true" t="shared" si="12" ref="S40:V42">G40-N40</f>
        <v>0</v>
      </c>
      <c r="T40" s="246">
        <f t="shared" si="12"/>
        <v>0</v>
      </c>
      <c r="U40" s="246">
        <f t="shared" si="12"/>
        <v>0</v>
      </c>
      <c r="V40" s="246">
        <f t="shared" si="12"/>
        <v>0</v>
      </c>
      <c r="W40" s="246">
        <f>T40+U40+V40</f>
        <v>0</v>
      </c>
      <c r="X40" s="232"/>
      <c r="Y40" s="232"/>
      <c r="Z40" s="104"/>
      <c r="AA40" s="104"/>
      <c r="AB40" s="104"/>
      <c r="AC40" s="104"/>
      <c r="AD40" s="246">
        <f>AA40+AB40+AC40</f>
        <v>0</v>
      </c>
      <c r="AE40" s="232"/>
      <c r="AF40" s="232"/>
      <c r="AG40" s="104"/>
      <c r="AH40" s="104"/>
      <c r="AI40" s="104"/>
      <c r="AJ40" s="104"/>
      <c r="AK40" s="246">
        <f>AH40+AI40+AJ40</f>
        <v>0</v>
      </c>
    </row>
    <row r="41" spans="1:37" ht="13.5">
      <c r="A41" s="232">
        <v>2</v>
      </c>
      <c r="B41" s="104"/>
      <c r="C41" s="232"/>
      <c r="D41" s="232"/>
      <c r="E41" s="232"/>
      <c r="F41" s="232"/>
      <c r="G41" s="104"/>
      <c r="H41" s="104"/>
      <c r="I41" s="104"/>
      <c r="J41" s="104"/>
      <c r="K41" s="246">
        <f>H41+I41+J41</f>
        <v>0</v>
      </c>
      <c r="L41" s="232"/>
      <c r="M41" s="246"/>
      <c r="N41" s="104"/>
      <c r="O41" s="232"/>
      <c r="P41" s="232"/>
      <c r="Q41" s="232"/>
      <c r="R41" s="246">
        <f>O41+P41+Q41</f>
        <v>0</v>
      </c>
      <c r="S41" s="246">
        <f t="shared" si="12"/>
        <v>0</v>
      </c>
      <c r="T41" s="246">
        <f t="shared" si="12"/>
        <v>0</v>
      </c>
      <c r="U41" s="246">
        <f t="shared" si="12"/>
        <v>0</v>
      </c>
      <c r="V41" s="246">
        <f t="shared" si="12"/>
        <v>0</v>
      </c>
      <c r="W41" s="246">
        <f>T41+U41+V41</f>
        <v>0</v>
      </c>
      <c r="X41" s="232"/>
      <c r="Y41" s="232"/>
      <c r="Z41" s="104"/>
      <c r="AA41" s="104"/>
      <c r="AB41" s="104"/>
      <c r="AC41" s="104"/>
      <c r="AD41" s="246">
        <f>AA41+AB41+AC41</f>
        <v>0</v>
      </c>
      <c r="AE41" s="232"/>
      <c r="AF41" s="232"/>
      <c r="AG41" s="104"/>
      <c r="AH41" s="104"/>
      <c r="AI41" s="104"/>
      <c r="AJ41" s="104"/>
      <c r="AK41" s="246">
        <f>AH41+AI41+AJ41</f>
        <v>0</v>
      </c>
    </row>
    <row r="42" spans="1:37" ht="13.5">
      <c r="A42" s="232">
        <v>3</v>
      </c>
      <c r="B42" s="247"/>
      <c r="C42" s="232"/>
      <c r="D42" s="232"/>
      <c r="E42" s="232"/>
      <c r="F42" s="232"/>
      <c r="G42" s="104"/>
      <c r="H42" s="104"/>
      <c r="I42" s="104"/>
      <c r="J42" s="104"/>
      <c r="K42" s="246">
        <f>H42+I42+J42</f>
        <v>0</v>
      </c>
      <c r="L42" s="232"/>
      <c r="M42" s="246"/>
      <c r="N42" s="104"/>
      <c r="O42" s="232"/>
      <c r="P42" s="232"/>
      <c r="Q42" s="232"/>
      <c r="R42" s="246">
        <f>O42+P42+Q42</f>
        <v>0</v>
      </c>
      <c r="S42" s="246">
        <f t="shared" si="12"/>
        <v>0</v>
      </c>
      <c r="T42" s="246">
        <f t="shared" si="12"/>
        <v>0</v>
      </c>
      <c r="U42" s="246">
        <f t="shared" si="12"/>
        <v>0</v>
      </c>
      <c r="V42" s="246">
        <f t="shared" si="12"/>
        <v>0</v>
      </c>
      <c r="W42" s="246">
        <f>T42+U42+V42</f>
        <v>0</v>
      </c>
      <c r="X42" s="232"/>
      <c r="Y42" s="232"/>
      <c r="Z42" s="104"/>
      <c r="AA42" s="104"/>
      <c r="AB42" s="104"/>
      <c r="AC42" s="104"/>
      <c r="AD42" s="246">
        <f>AA42+AB42+AC42</f>
        <v>0</v>
      </c>
      <c r="AE42" s="232"/>
      <c r="AF42" s="232"/>
      <c r="AG42" s="104"/>
      <c r="AH42" s="104"/>
      <c r="AI42" s="104"/>
      <c r="AJ42" s="104"/>
      <c r="AK42" s="246">
        <f>AH42+AI42+AJ42</f>
        <v>0</v>
      </c>
    </row>
    <row r="43" spans="1:37" s="249" customFormat="1" ht="27">
      <c r="A43" s="244"/>
      <c r="B43" s="252" t="s">
        <v>228</v>
      </c>
      <c r="C43" s="248" t="s">
        <v>1</v>
      </c>
      <c r="D43" s="248" t="s">
        <v>1</v>
      </c>
      <c r="E43" s="248" t="s">
        <v>1</v>
      </c>
      <c r="F43" s="248" t="s">
        <v>1</v>
      </c>
      <c r="G43" s="248">
        <f>SUM(G40:G42)</f>
        <v>0</v>
      </c>
      <c r="H43" s="248">
        <f>SUM(H40:H42)</f>
        <v>0</v>
      </c>
      <c r="I43" s="248">
        <f>SUM(I40:I42)</f>
        <v>0</v>
      </c>
      <c r="J43" s="248">
        <f>SUM(J40:J42)</f>
        <v>0</v>
      </c>
      <c r="K43" s="248">
        <f>SUM(K40:K42)</f>
        <v>0</v>
      </c>
      <c r="L43" s="248" t="s">
        <v>1</v>
      </c>
      <c r="M43" s="248"/>
      <c r="N43" s="248">
        <f aca="true" t="shared" si="13" ref="N43:W43">SUM(N40:N42)</f>
        <v>0</v>
      </c>
      <c r="O43" s="248">
        <f t="shared" si="13"/>
        <v>0</v>
      </c>
      <c r="P43" s="248">
        <f t="shared" si="13"/>
        <v>0</v>
      </c>
      <c r="Q43" s="248">
        <f t="shared" si="13"/>
        <v>0</v>
      </c>
      <c r="R43" s="248">
        <f t="shared" si="13"/>
        <v>0</v>
      </c>
      <c r="S43" s="248">
        <f t="shared" si="13"/>
        <v>0</v>
      </c>
      <c r="T43" s="248">
        <f t="shared" si="13"/>
        <v>0</v>
      </c>
      <c r="U43" s="248">
        <f t="shared" si="13"/>
        <v>0</v>
      </c>
      <c r="V43" s="248">
        <f t="shared" si="13"/>
        <v>0</v>
      </c>
      <c r="W43" s="248">
        <f t="shared" si="13"/>
        <v>0</v>
      </c>
      <c r="X43" s="248" t="s">
        <v>1</v>
      </c>
      <c r="Y43" s="248" t="s">
        <v>1</v>
      </c>
      <c r="Z43" s="248">
        <f>SUM(Z40:Z42)</f>
        <v>0</v>
      </c>
      <c r="AA43" s="248">
        <f>SUM(AA40:AA42)</f>
        <v>0</v>
      </c>
      <c r="AB43" s="248">
        <f>SUM(AB40:AB42)</f>
        <v>0</v>
      </c>
      <c r="AC43" s="248">
        <f>SUM(AC40:AC42)</f>
        <v>0</v>
      </c>
      <c r="AD43" s="248">
        <f>SUM(AD40:AD42)</f>
        <v>0</v>
      </c>
      <c r="AE43" s="248" t="s">
        <v>1</v>
      </c>
      <c r="AF43" s="248" t="s">
        <v>1</v>
      </c>
      <c r="AG43" s="248">
        <f>SUM(AG40:AG42)</f>
        <v>0</v>
      </c>
      <c r="AH43" s="248">
        <f>SUM(AH40:AH42)</f>
        <v>0</v>
      </c>
      <c r="AI43" s="248">
        <f>SUM(AI40:AI42)</f>
        <v>0</v>
      </c>
      <c r="AJ43" s="248">
        <f>SUM(AJ40:AJ42)</f>
        <v>0</v>
      </c>
      <c r="AK43" s="248">
        <f>SUM(AK40:AK42)</f>
        <v>0</v>
      </c>
    </row>
    <row r="44" spans="1:37" ht="13.5">
      <c r="A44" s="232"/>
      <c r="B44" s="207" t="s">
        <v>227</v>
      </c>
      <c r="C44" s="246"/>
      <c r="D44" s="246"/>
      <c r="E44" s="246"/>
      <c r="F44" s="246"/>
      <c r="G44" s="207"/>
      <c r="H44" s="207"/>
      <c r="I44" s="207"/>
      <c r="J44" s="207"/>
      <c r="K44" s="207"/>
      <c r="L44" s="246"/>
      <c r="M44" s="207"/>
      <c r="N44" s="207"/>
      <c r="O44" s="207"/>
      <c r="P44" s="207"/>
      <c r="Q44" s="207"/>
      <c r="R44" s="207"/>
      <c r="S44" s="207"/>
      <c r="T44" s="207"/>
      <c r="U44" s="207"/>
      <c r="V44" s="109"/>
      <c r="W44" s="109"/>
      <c r="X44" s="246"/>
      <c r="Y44" s="246"/>
      <c r="Z44" s="207"/>
      <c r="AA44" s="207"/>
      <c r="AB44" s="207"/>
      <c r="AC44" s="207"/>
      <c r="AD44" s="207"/>
      <c r="AE44" s="246"/>
      <c r="AF44" s="246"/>
      <c r="AG44" s="207"/>
      <c r="AH44" s="207"/>
      <c r="AI44" s="207"/>
      <c r="AJ44" s="207"/>
      <c r="AK44" s="207"/>
    </row>
    <row r="45" spans="1:37" ht="13.5">
      <c r="A45" s="232">
        <v>1</v>
      </c>
      <c r="B45" s="104"/>
      <c r="C45" s="232"/>
      <c r="D45" s="232"/>
      <c r="E45" s="232"/>
      <c r="F45" s="232"/>
      <c r="G45" s="104"/>
      <c r="H45" s="104"/>
      <c r="I45" s="104"/>
      <c r="J45" s="104"/>
      <c r="K45" s="246">
        <f>H45+I45+J45</f>
        <v>0</v>
      </c>
      <c r="L45" s="232"/>
      <c r="M45" s="246"/>
      <c r="N45" s="104"/>
      <c r="O45" s="232"/>
      <c r="P45" s="232"/>
      <c r="Q45" s="232"/>
      <c r="R45" s="246">
        <f>O45+P45+Q45</f>
        <v>0</v>
      </c>
      <c r="S45" s="246">
        <f aca="true" t="shared" si="14" ref="S45:V47">G45-N45</f>
        <v>0</v>
      </c>
      <c r="T45" s="246">
        <f t="shared" si="14"/>
        <v>0</v>
      </c>
      <c r="U45" s="246">
        <f t="shared" si="14"/>
        <v>0</v>
      </c>
      <c r="V45" s="246">
        <f t="shared" si="14"/>
        <v>0</v>
      </c>
      <c r="W45" s="246">
        <f>T45+U45+V45</f>
        <v>0</v>
      </c>
      <c r="X45" s="232"/>
      <c r="Y45" s="232"/>
      <c r="Z45" s="104"/>
      <c r="AA45" s="104"/>
      <c r="AB45" s="104"/>
      <c r="AC45" s="104"/>
      <c r="AD45" s="246">
        <f>AA45+AB45+AC45</f>
        <v>0</v>
      </c>
      <c r="AE45" s="232"/>
      <c r="AF45" s="232"/>
      <c r="AG45" s="104"/>
      <c r="AH45" s="104"/>
      <c r="AI45" s="104"/>
      <c r="AJ45" s="104"/>
      <c r="AK45" s="246">
        <f>AH45+AI45+AJ45</f>
        <v>0</v>
      </c>
    </row>
    <row r="46" spans="1:37" ht="13.5">
      <c r="A46" s="232">
        <v>2</v>
      </c>
      <c r="B46" s="104"/>
      <c r="C46" s="232"/>
      <c r="D46" s="232"/>
      <c r="E46" s="232"/>
      <c r="F46" s="232"/>
      <c r="G46" s="104"/>
      <c r="H46" s="104"/>
      <c r="I46" s="104"/>
      <c r="J46" s="104"/>
      <c r="K46" s="246">
        <f>H46+I46+J46</f>
        <v>0</v>
      </c>
      <c r="L46" s="232"/>
      <c r="M46" s="246"/>
      <c r="N46" s="104"/>
      <c r="O46" s="232"/>
      <c r="P46" s="232"/>
      <c r="Q46" s="232"/>
      <c r="R46" s="246">
        <f>O46+P46+Q46</f>
        <v>0</v>
      </c>
      <c r="S46" s="246">
        <f t="shared" si="14"/>
        <v>0</v>
      </c>
      <c r="T46" s="246">
        <f t="shared" si="14"/>
        <v>0</v>
      </c>
      <c r="U46" s="246">
        <f t="shared" si="14"/>
        <v>0</v>
      </c>
      <c r="V46" s="246">
        <f t="shared" si="14"/>
        <v>0</v>
      </c>
      <c r="W46" s="246">
        <f>T46+U46+V46</f>
        <v>0</v>
      </c>
      <c r="X46" s="232"/>
      <c r="Y46" s="232"/>
      <c r="Z46" s="104"/>
      <c r="AA46" s="104"/>
      <c r="AB46" s="104"/>
      <c r="AC46" s="104"/>
      <c r="AD46" s="246">
        <f>AA46+AB46+AC46</f>
        <v>0</v>
      </c>
      <c r="AE46" s="232"/>
      <c r="AF46" s="232"/>
      <c r="AG46" s="104"/>
      <c r="AH46" s="104"/>
      <c r="AI46" s="104"/>
      <c r="AJ46" s="104"/>
      <c r="AK46" s="246">
        <f>AH46+AI46+AJ46</f>
        <v>0</v>
      </c>
    </row>
    <row r="47" spans="1:37" ht="13.5">
      <c r="A47" s="232">
        <v>3</v>
      </c>
      <c r="B47" s="247"/>
      <c r="C47" s="232"/>
      <c r="D47" s="232"/>
      <c r="E47" s="232"/>
      <c r="F47" s="232"/>
      <c r="G47" s="104"/>
      <c r="H47" s="104"/>
      <c r="I47" s="104"/>
      <c r="J47" s="104"/>
      <c r="K47" s="246">
        <f>H47+I47+J47</f>
        <v>0</v>
      </c>
      <c r="L47" s="232"/>
      <c r="M47" s="246"/>
      <c r="N47" s="104"/>
      <c r="O47" s="232"/>
      <c r="P47" s="232"/>
      <c r="Q47" s="232"/>
      <c r="R47" s="246">
        <f>O47+P47+Q47</f>
        <v>0</v>
      </c>
      <c r="S47" s="246">
        <f t="shared" si="14"/>
        <v>0</v>
      </c>
      <c r="T47" s="246">
        <f t="shared" si="14"/>
        <v>0</v>
      </c>
      <c r="U47" s="246">
        <f t="shared" si="14"/>
        <v>0</v>
      </c>
      <c r="V47" s="246">
        <f t="shared" si="14"/>
        <v>0</v>
      </c>
      <c r="W47" s="246">
        <f>T47+U47+V47</f>
        <v>0</v>
      </c>
      <c r="X47" s="232"/>
      <c r="Y47" s="232"/>
      <c r="Z47" s="104"/>
      <c r="AA47" s="104"/>
      <c r="AB47" s="104"/>
      <c r="AC47" s="104"/>
      <c r="AD47" s="246">
        <f>AA47+AB47+AC47</f>
        <v>0</v>
      </c>
      <c r="AE47" s="232"/>
      <c r="AF47" s="232"/>
      <c r="AG47" s="104"/>
      <c r="AH47" s="104"/>
      <c r="AI47" s="104"/>
      <c r="AJ47" s="104"/>
      <c r="AK47" s="246">
        <f>AH47+AI47+AJ47</f>
        <v>0</v>
      </c>
    </row>
    <row r="48" spans="1:37" s="249" customFormat="1" ht="27">
      <c r="A48" s="244"/>
      <c r="B48" s="252" t="s">
        <v>228</v>
      </c>
      <c r="C48" s="248" t="s">
        <v>1</v>
      </c>
      <c r="D48" s="248" t="s">
        <v>1</v>
      </c>
      <c r="E48" s="248" t="s">
        <v>1</v>
      </c>
      <c r="F48" s="248" t="s">
        <v>1</v>
      </c>
      <c r="G48" s="248">
        <f>SUM(G45:G47)</f>
        <v>0</v>
      </c>
      <c r="H48" s="248">
        <f>SUM(H45:H47)</f>
        <v>0</v>
      </c>
      <c r="I48" s="248">
        <f>SUM(I45:I47)</f>
        <v>0</v>
      </c>
      <c r="J48" s="248">
        <f>SUM(J45:J47)</f>
        <v>0</v>
      </c>
      <c r="K48" s="248">
        <f>SUM(K45:K47)</f>
        <v>0</v>
      </c>
      <c r="L48" s="248" t="s">
        <v>1</v>
      </c>
      <c r="M48" s="248"/>
      <c r="N48" s="248">
        <f aca="true" t="shared" si="15" ref="N48:W48">SUM(N45:N47)</f>
        <v>0</v>
      </c>
      <c r="O48" s="248">
        <f t="shared" si="15"/>
        <v>0</v>
      </c>
      <c r="P48" s="248">
        <f t="shared" si="15"/>
        <v>0</v>
      </c>
      <c r="Q48" s="248">
        <f t="shared" si="15"/>
        <v>0</v>
      </c>
      <c r="R48" s="248">
        <f t="shared" si="15"/>
        <v>0</v>
      </c>
      <c r="S48" s="248">
        <f t="shared" si="15"/>
        <v>0</v>
      </c>
      <c r="T48" s="248">
        <f t="shared" si="15"/>
        <v>0</v>
      </c>
      <c r="U48" s="248">
        <f t="shared" si="15"/>
        <v>0</v>
      </c>
      <c r="V48" s="248">
        <f t="shared" si="15"/>
        <v>0</v>
      </c>
      <c r="W48" s="248">
        <f t="shared" si="15"/>
        <v>0</v>
      </c>
      <c r="X48" s="248" t="s">
        <v>1</v>
      </c>
      <c r="Y48" s="248" t="s">
        <v>1</v>
      </c>
      <c r="Z48" s="248">
        <f>SUM(Z45:Z47)</f>
        <v>0</v>
      </c>
      <c r="AA48" s="248">
        <f>SUM(AA45:AA47)</f>
        <v>0</v>
      </c>
      <c r="AB48" s="248">
        <f>SUM(AB45:AB47)</f>
        <v>0</v>
      </c>
      <c r="AC48" s="248">
        <f>SUM(AC45:AC47)</f>
        <v>0</v>
      </c>
      <c r="AD48" s="248">
        <f>SUM(AD45:AD47)</f>
        <v>0</v>
      </c>
      <c r="AE48" s="248" t="s">
        <v>1</v>
      </c>
      <c r="AF48" s="248" t="s">
        <v>1</v>
      </c>
      <c r="AG48" s="248">
        <f>SUM(AG45:AG47)</f>
        <v>0</v>
      </c>
      <c r="AH48" s="248">
        <f>SUM(AH45:AH47)</f>
        <v>0</v>
      </c>
      <c r="AI48" s="248">
        <f>SUM(AI45:AI47)</f>
        <v>0</v>
      </c>
      <c r="AJ48" s="248">
        <f>SUM(AJ45:AJ47)</f>
        <v>0</v>
      </c>
      <c r="AK48" s="248">
        <f>SUM(AK45:AK47)</f>
        <v>0</v>
      </c>
    </row>
    <row r="49" spans="1:37" s="249" customFormat="1" ht="28.5">
      <c r="A49" s="244"/>
      <c r="B49" s="327" t="s">
        <v>237</v>
      </c>
      <c r="C49" s="248" t="s">
        <v>1</v>
      </c>
      <c r="D49" s="248" t="s">
        <v>1</v>
      </c>
      <c r="E49" s="248" t="s">
        <v>1</v>
      </c>
      <c r="F49" s="248" t="s">
        <v>1</v>
      </c>
      <c r="G49" s="248">
        <f>G43+G48</f>
        <v>0</v>
      </c>
      <c r="H49" s="248">
        <f>H43+H48</f>
        <v>0</v>
      </c>
      <c r="I49" s="248">
        <f>I43+I48</f>
        <v>0</v>
      </c>
      <c r="J49" s="248">
        <f>J43+J48</f>
        <v>0</v>
      </c>
      <c r="K49" s="248">
        <f>K43+K48</f>
        <v>0</v>
      </c>
      <c r="L49" s="248" t="s">
        <v>1</v>
      </c>
      <c r="M49" s="248"/>
      <c r="N49" s="248">
        <f aca="true" t="shared" si="16" ref="N49:W49">N43+N48</f>
        <v>0</v>
      </c>
      <c r="O49" s="248">
        <f t="shared" si="16"/>
        <v>0</v>
      </c>
      <c r="P49" s="248">
        <f t="shared" si="16"/>
        <v>0</v>
      </c>
      <c r="Q49" s="248">
        <f t="shared" si="16"/>
        <v>0</v>
      </c>
      <c r="R49" s="248">
        <f t="shared" si="16"/>
        <v>0</v>
      </c>
      <c r="S49" s="248">
        <f t="shared" si="16"/>
        <v>0</v>
      </c>
      <c r="T49" s="248">
        <f t="shared" si="16"/>
        <v>0</v>
      </c>
      <c r="U49" s="248">
        <f t="shared" si="16"/>
        <v>0</v>
      </c>
      <c r="V49" s="248">
        <f t="shared" si="16"/>
        <v>0</v>
      </c>
      <c r="W49" s="248">
        <f t="shared" si="16"/>
        <v>0</v>
      </c>
      <c r="X49" s="248" t="s">
        <v>1</v>
      </c>
      <c r="Y49" s="248" t="s">
        <v>1</v>
      </c>
      <c r="Z49" s="248">
        <f>Z43+Z48</f>
        <v>0</v>
      </c>
      <c r="AA49" s="248">
        <f>AA43+AA48</f>
        <v>0</v>
      </c>
      <c r="AB49" s="248">
        <f>AB43+AB48</f>
        <v>0</v>
      </c>
      <c r="AC49" s="248">
        <f>AC43+AC48</f>
        <v>0</v>
      </c>
      <c r="AD49" s="248">
        <f>AD43+AD48</f>
        <v>0</v>
      </c>
      <c r="AE49" s="248" t="s">
        <v>1</v>
      </c>
      <c r="AF49" s="248" t="s">
        <v>1</v>
      </c>
      <c r="AG49" s="248">
        <f>AG43+AG48</f>
        <v>0</v>
      </c>
      <c r="AH49" s="248">
        <f>AH43+AH48</f>
        <v>0</v>
      </c>
      <c r="AI49" s="248">
        <f>AI43+AI48</f>
        <v>0</v>
      </c>
      <c r="AJ49" s="248">
        <f>AJ43+AJ48</f>
        <v>0</v>
      </c>
      <c r="AK49" s="248">
        <f>AK43+AK48</f>
        <v>0</v>
      </c>
    </row>
    <row r="50" spans="1:37" ht="13.5">
      <c r="A50" s="232"/>
      <c r="B50" s="104"/>
      <c r="C50" s="246"/>
      <c r="D50" s="246"/>
      <c r="E50" s="246"/>
      <c r="F50" s="246"/>
      <c r="G50" s="104"/>
      <c r="H50" s="104"/>
      <c r="I50" s="104"/>
      <c r="J50" s="104"/>
      <c r="K50" s="104"/>
      <c r="L50" s="246"/>
      <c r="M50" s="246"/>
      <c r="N50" s="104"/>
      <c r="O50" s="104"/>
      <c r="P50" s="104"/>
      <c r="Q50" s="104"/>
      <c r="R50" s="104"/>
      <c r="S50" s="104"/>
      <c r="T50" s="104"/>
      <c r="U50" s="104"/>
      <c r="V50" s="109"/>
      <c r="W50" s="109"/>
      <c r="X50" s="246"/>
      <c r="Y50" s="246"/>
      <c r="Z50" s="104"/>
      <c r="AA50" s="104"/>
      <c r="AB50" s="104"/>
      <c r="AC50" s="104"/>
      <c r="AD50" s="104"/>
      <c r="AE50" s="246"/>
      <c r="AF50" s="246"/>
      <c r="AG50" s="104"/>
      <c r="AH50" s="104"/>
      <c r="AI50" s="104"/>
      <c r="AJ50" s="104"/>
      <c r="AK50" s="104"/>
    </row>
    <row r="51" spans="1:37" ht="54">
      <c r="A51" s="244" t="s">
        <v>24</v>
      </c>
      <c r="B51" s="245" t="s">
        <v>421</v>
      </c>
      <c r="C51" s="246"/>
      <c r="D51" s="246"/>
      <c r="E51" s="246"/>
      <c r="F51" s="246"/>
      <c r="G51" s="245"/>
      <c r="H51" s="245"/>
      <c r="I51" s="245"/>
      <c r="J51" s="245"/>
      <c r="K51" s="245"/>
      <c r="L51" s="246"/>
      <c r="M51" s="246"/>
      <c r="N51" s="245"/>
      <c r="O51" s="245"/>
      <c r="P51" s="245"/>
      <c r="Q51" s="245"/>
      <c r="R51" s="245"/>
      <c r="S51" s="245"/>
      <c r="T51" s="245"/>
      <c r="U51" s="245"/>
      <c r="V51" s="109"/>
      <c r="W51" s="109"/>
      <c r="X51" s="246"/>
      <c r="Y51" s="246"/>
      <c r="Z51" s="245"/>
      <c r="AA51" s="245"/>
      <c r="AB51" s="245"/>
      <c r="AC51" s="245"/>
      <c r="AD51" s="245"/>
      <c r="AE51" s="246"/>
      <c r="AF51" s="246"/>
      <c r="AG51" s="245"/>
      <c r="AH51" s="245"/>
      <c r="AI51" s="245"/>
      <c r="AJ51" s="245"/>
      <c r="AK51" s="245"/>
    </row>
    <row r="52" spans="1:37" ht="13.5">
      <c r="A52" s="232"/>
      <c r="B52" s="207" t="s">
        <v>193</v>
      </c>
      <c r="C52" s="246"/>
      <c r="D52" s="246"/>
      <c r="E52" s="246"/>
      <c r="F52" s="246"/>
      <c r="G52" s="207"/>
      <c r="H52" s="207"/>
      <c r="I52" s="207"/>
      <c r="J52" s="207"/>
      <c r="K52" s="207"/>
      <c r="L52" s="246"/>
      <c r="M52" s="246"/>
      <c r="N52" s="207"/>
      <c r="O52" s="207"/>
      <c r="P52" s="207"/>
      <c r="Q52" s="207"/>
      <c r="R52" s="207"/>
      <c r="S52" s="207"/>
      <c r="T52" s="207"/>
      <c r="U52" s="207"/>
      <c r="V52" s="109"/>
      <c r="W52" s="109"/>
      <c r="X52" s="246"/>
      <c r="Y52" s="246"/>
      <c r="Z52" s="207"/>
      <c r="AA52" s="207"/>
      <c r="AB52" s="207"/>
      <c r="AC52" s="207"/>
      <c r="AD52" s="207"/>
      <c r="AE52" s="246"/>
      <c r="AF52" s="246"/>
      <c r="AG52" s="207"/>
      <c r="AH52" s="207"/>
      <c r="AI52" s="207"/>
      <c r="AJ52" s="207"/>
      <c r="AK52" s="207"/>
    </row>
    <row r="53" spans="1:37" ht="13.5">
      <c r="A53" s="232">
        <v>1</v>
      </c>
      <c r="B53" s="104"/>
      <c r="C53" s="232"/>
      <c r="D53" s="246" t="s">
        <v>1</v>
      </c>
      <c r="E53" s="246" t="s">
        <v>1</v>
      </c>
      <c r="F53" s="246" t="s">
        <v>1</v>
      </c>
      <c r="G53" s="104"/>
      <c r="H53" s="232"/>
      <c r="I53" s="232"/>
      <c r="J53" s="232"/>
      <c r="K53" s="246">
        <f>H53+I53+J53</f>
        <v>0</v>
      </c>
      <c r="L53" s="246" t="s">
        <v>1</v>
      </c>
      <c r="M53" s="246"/>
      <c r="N53" s="104"/>
      <c r="O53" s="232"/>
      <c r="P53" s="232"/>
      <c r="Q53" s="232"/>
      <c r="R53" s="246">
        <f>O53+P53+Q53</f>
        <v>0</v>
      </c>
      <c r="S53" s="246">
        <f aca="true" t="shared" si="17" ref="S53:V55">G53-N53</f>
        <v>0</v>
      </c>
      <c r="T53" s="246">
        <f t="shared" si="17"/>
        <v>0</v>
      </c>
      <c r="U53" s="246">
        <f t="shared" si="17"/>
        <v>0</v>
      </c>
      <c r="V53" s="246">
        <f t="shared" si="17"/>
        <v>0</v>
      </c>
      <c r="W53" s="246">
        <f>T53+U53+V53</f>
        <v>0</v>
      </c>
      <c r="X53" s="246" t="s">
        <v>1</v>
      </c>
      <c r="Y53" s="246" t="s">
        <v>1</v>
      </c>
      <c r="Z53" s="104"/>
      <c r="AA53" s="232"/>
      <c r="AB53" s="232"/>
      <c r="AC53" s="232"/>
      <c r="AD53" s="246">
        <f>AA53+AB53+AC53</f>
        <v>0</v>
      </c>
      <c r="AE53" s="246" t="s">
        <v>1</v>
      </c>
      <c r="AF53" s="246" t="s">
        <v>1</v>
      </c>
      <c r="AG53" s="104"/>
      <c r="AH53" s="232"/>
      <c r="AI53" s="232"/>
      <c r="AJ53" s="232"/>
      <c r="AK53" s="246">
        <f>AH53+AI53+AJ53</f>
        <v>0</v>
      </c>
    </row>
    <row r="54" spans="1:37" ht="13.5">
      <c r="A54" s="232">
        <v>2</v>
      </c>
      <c r="B54" s="104"/>
      <c r="C54" s="232"/>
      <c r="D54" s="246" t="s">
        <v>1</v>
      </c>
      <c r="E54" s="246" t="s">
        <v>1</v>
      </c>
      <c r="F54" s="246" t="s">
        <v>1</v>
      </c>
      <c r="G54" s="104"/>
      <c r="H54" s="232"/>
      <c r="I54" s="232"/>
      <c r="J54" s="232"/>
      <c r="K54" s="246">
        <f>H54+I54+J54</f>
        <v>0</v>
      </c>
      <c r="L54" s="246" t="s">
        <v>1</v>
      </c>
      <c r="M54" s="246"/>
      <c r="N54" s="104"/>
      <c r="O54" s="232"/>
      <c r="P54" s="232"/>
      <c r="Q54" s="232"/>
      <c r="R54" s="246">
        <f>O54+P54+Q54</f>
        <v>0</v>
      </c>
      <c r="S54" s="246">
        <f t="shared" si="17"/>
        <v>0</v>
      </c>
      <c r="T54" s="246">
        <f t="shared" si="17"/>
        <v>0</v>
      </c>
      <c r="U54" s="246">
        <f t="shared" si="17"/>
        <v>0</v>
      </c>
      <c r="V54" s="246">
        <f t="shared" si="17"/>
        <v>0</v>
      </c>
      <c r="W54" s="246">
        <f>T54+U54+V54</f>
        <v>0</v>
      </c>
      <c r="X54" s="246" t="s">
        <v>1</v>
      </c>
      <c r="Y54" s="246" t="s">
        <v>1</v>
      </c>
      <c r="Z54" s="104"/>
      <c r="AA54" s="232"/>
      <c r="AB54" s="232"/>
      <c r="AC54" s="232"/>
      <c r="AD54" s="246">
        <f>AA54+AB54+AC54</f>
        <v>0</v>
      </c>
      <c r="AE54" s="246" t="s">
        <v>1</v>
      </c>
      <c r="AF54" s="246" t="s">
        <v>1</v>
      </c>
      <c r="AG54" s="104"/>
      <c r="AH54" s="232"/>
      <c r="AI54" s="232"/>
      <c r="AJ54" s="232"/>
      <c r="AK54" s="246">
        <f>AH54+AI54+AJ54</f>
        <v>0</v>
      </c>
    </row>
    <row r="55" spans="1:37" ht="13.5">
      <c r="A55" s="232">
        <v>3</v>
      </c>
      <c r="B55" s="104"/>
      <c r="C55" s="232"/>
      <c r="D55" s="246" t="s">
        <v>1</v>
      </c>
      <c r="E55" s="246" t="s">
        <v>1</v>
      </c>
      <c r="F55" s="246" t="s">
        <v>1</v>
      </c>
      <c r="G55" s="104"/>
      <c r="H55" s="232"/>
      <c r="I55" s="232"/>
      <c r="J55" s="232"/>
      <c r="K55" s="246">
        <f>H55+I55+J55</f>
        <v>0</v>
      </c>
      <c r="L55" s="246" t="s">
        <v>1</v>
      </c>
      <c r="M55" s="246"/>
      <c r="N55" s="104"/>
      <c r="O55" s="232"/>
      <c r="P55" s="232"/>
      <c r="Q55" s="232"/>
      <c r="R55" s="246">
        <f>O55+P55+Q55</f>
        <v>0</v>
      </c>
      <c r="S55" s="246">
        <f t="shared" si="17"/>
        <v>0</v>
      </c>
      <c r="T55" s="246">
        <f t="shared" si="17"/>
        <v>0</v>
      </c>
      <c r="U55" s="246">
        <f t="shared" si="17"/>
        <v>0</v>
      </c>
      <c r="V55" s="246">
        <f t="shared" si="17"/>
        <v>0</v>
      </c>
      <c r="W55" s="246">
        <f>T55+U55+V55</f>
        <v>0</v>
      </c>
      <c r="X55" s="246" t="s">
        <v>1</v>
      </c>
      <c r="Y55" s="246" t="s">
        <v>1</v>
      </c>
      <c r="Z55" s="104"/>
      <c r="AA55" s="232"/>
      <c r="AB55" s="232"/>
      <c r="AC55" s="232"/>
      <c r="AD55" s="246">
        <f>AA55+AB55+AC55</f>
        <v>0</v>
      </c>
      <c r="AE55" s="246" t="s">
        <v>1</v>
      </c>
      <c r="AF55" s="246" t="s">
        <v>1</v>
      </c>
      <c r="AG55" s="104"/>
      <c r="AH55" s="232"/>
      <c r="AI55" s="232"/>
      <c r="AJ55" s="232"/>
      <c r="AK55" s="246">
        <f>AH55+AI55+AJ55</f>
        <v>0</v>
      </c>
    </row>
    <row r="56" spans="1:37" s="249" customFormat="1" ht="14.25">
      <c r="A56" s="244"/>
      <c r="B56" s="247" t="s">
        <v>110</v>
      </c>
      <c r="C56" s="248" t="s">
        <v>1</v>
      </c>
      <c r="D56" s="248" t="s">
        <v>1</v>
      </c>
      <c r="E56" s="248" t="s">
        <v>1</v>
      </c>
      <c r="F56" s="248" t="s">
        <v>1</v>
      </c>
      <c r="G56" s="248">
        <f aca="true" t="shared" si="18" ref="G56:Q56">SUM(G53:G55)</f>
        <v>0</v>
      </c>
      <c r="H56" s="248">
        <f t="shared" si="18"/>
        <v>0</v>
      </c>
      <c r="I56" s="248">
        <f t="shared" si="18"/>
        <v>0</v>
      </c>
      <c r="J56" s="248">
        <f t="shared" si="18"/>
        <v>0</v>
      </c>
      <c r="K56" s="248">
        <f t="shared" si="18"/>
        <v>0</v>
      </c>
      <c r="L56" s="248" t="s">
        <v>1</v>
      </c>
      <c r="M56" s="248" t="s">
        <v>1</v>
      </c>
      <c r="N56" s="248">
        <f t="shared" si="18"/>
        <v>0</v>
      </c>
      <c r="O56" s="248">
        <f t="shared" si="18"/>
        <v>0</v>
      </c>
      <c r="P56" s="248">
        <f t="shared" si="18"/>
        <v>0</v>
      </c>
      <c r="Q56" s="248">
        <f t="shared" si="18"/>
        <v>0</v>
      </c>
      <c r="R56" s="248">
        <f aca="true" t="shared" si="19" ref="R56:W56">SUM(R53:R55)</f>
        <v>0</v>
      </c>
      <c r="S56" s="248">
        <f t="shared" si="19"/>
        <v>0</v>
      </c>
      <c r="T56" s="248">
        <f t="shared" si="19"/>
        <v>0</v>
      </c>
      <c r="U56" s="248">
        <f t="shared" si="19"/>
        <v>0</v>
      </c>
      <c r="V56" s="248">
        <f t="shared" si="19"/>
        <v>0</v>
      </c>
      <c r="W56" s="248">
        <f t="shared" si="19"/>
        <v>0</v>
      </c>
      <c r="X56" s="248" t="s">
        <v>1</v>
      </c>
      <c r="Y56" s="248" t="s">
        <v>1</v>
      </c>
      <c r="Z56" s="248">
        <f>SUM(Z53:Z55)</f>
        <v>0</v>
      </c>
      <c r="AA56" s="248">
        <f>SUM(AA53:AA55)</f>
        <v>0</v>
      </c>
      <c r="AB56" s="248">
        <f>SUM(AB53:AB55)</f>
        <v>0</v>
      </c>
      <c r="AC56" s="248">
        <f>SUM(AC53:AC55)</f>
        <v>0</v>
      </c>
      <c r="AD56" s="248">
        <f>SUM(AD53:AD55)</f>
        <v>0</v>
      </c>
      <c r="AE56" s="248" t="s">
        <v>1</v>
      </c>
      <c r="AF56" s="248" t="s">
        <v>1</v>
      </c>
      <c r="AG56" s="248">
        <f>SUM(AG53:AG55)</f>
        <v>0</v>
      </c>
      <c r="AH56" s="248">
        <f>SUM(AH53:AH55)</f>
        <v>0</v>
      </c>
      <c r="AI56" s="248">
        <f>SUM(AI53:AI55)</f>
        <v>0</v>
      </c>
      <c r="AJ56" s="248">
        <f>SUM(AJ53:AJ55)</f>
        <v>0</v>
      </c>
      <c r="AK56" s="248">
        <f>SUM(AK53:AK55)</f>
        <v>0</v>
      </c>
    </row>
    <row r="57" spans="1:37" ht="13.5">
      <c r="A57" s="232"/>
      <c r="B57" s="104"/>
      <c r="C57" s="246"/>
      <c r="D57" s="246"/>
      <c r="E57" s="246"/>
      <c r="F57" s="246"/>
      <c r="G57" s="104"/>
      <c r="H57" s="246"/>
      <c r="I57" s="246"/>
      <c r="J57" s="246"/>
      <c r="K57" s="246"/>
      <c r="L57" s="246"/>
      <c r="M57" s="246"/>
      <c r="N57" s="104"/>
      <c r="O57" s="246"/>
      <c r="P57" s="246"/>
      <c r="Q57" s="246"/>
      <c r="R57" s="104"/>
      <c r="S57" s="104"/>
      <c r="T57" s="104"/>
      <c r="U57" s="104"/>
      <c r="V57" s="109"/>
      <c r="W57" s="109"/>
      <c r="X57" s="246"/>
      <c r="Y57" s="246"/>
      <c r="Z57" s="104"/>
      <c r="AA57" s="246"/>
      <c r="AB57" s="246"/>
      <c r="AC57" s="246"/>
      <c r="AD57" s="246"/>
      <c r="AE57" s="246"/>
      <c r="AF57" s="246"/>
      <c r="AG57" s="104"/>
      <c r="AH57" s="246"/>
      <c r="AI57" s="246"/>
      <c r="AJ57" s="246"/>
      <c r="AK57" s="246"/>
    </row>
    <row r="58" spans="1:37" s="587" customFormat="1" ht="29.25" customHeight="1">
      <c r="A58" s="585"/>
      <c r="B58" s="586" t="s">
        <v>433</v>
      </c>
      <c r="C58" s="362" t="s">
        <v>1</v>
      </c>
      <c r="D58" s="362" t="s">
        <v>1</v>
      </c>
      <c r="E58" s="362" t="s">
        <v>1</v>
      </c>
      <c r="F58" s="362" t="s">
        <v>1</v>
      </c>
      <c r="G58" s="362">
        <f>+G12+G18+G34+G49+G56</f>
        <v>0</v>
      </c>
      <c r="H58" s="362">
        <f aca="true" t="shared" si="20" ref="H58:W58">+H12+H18+H34+H49+H56</f>
        <v>0</v>
      </c>
      <c r="I58" s="362">
        <f t="shared" si="20"/>
        <v>0</v>
      </c>
      <c r="J58" s="362">
        <f t="shared" si="20"/>
        <v>0</v>
      </c>
      <c r="K58" s="362">
        <f t="shared" si="20"/>
        <v>0</v>
      </c>
      <c r="L58" s="362" t="s">
        <v>1</v>
      </c>
      <c r="M58" s="362"/>
      <c r="N58" s="362">
        <f t="shared" si="20"/>
        <v>0</v>
      </c>
      <c r="O58" s="362">
        <f t="shared" si="20"/>
        <v>0</v>
      </c>
      <c r="P58" s="362">
        <f t="shared" si="20"/>
        <v>0</v>
      </c>
      <c r="Q58" s="362">
        <f t="shared" si="20"/>
        <v>0</v>
      </c>
      <c r="R58" s="362">
        <f t="shared" si="20"/>
        <v>0</v>
      </c>
      <c r="S58" s="362">
        <f t="shared" si="20"/>
        <v>0</v>
      </c>
      <c r="T58" s="362">
        <f t="shared" si="20"/>
        <v>0</v>
      </c>
      <c r="U58" s="362">
        <f t="shared" si="20"/>
        <v>0</v>
      </c>
      <c r="V58" s="362">
        <f t="shared" si="20"/>
        <v>0</v>
      </c>
      <c r="W58" s="362">
        <f t="shared" si="20"/>
        <v>0</v>
      </c>
      <c r="X58" s="362" t="s">
        <v>1</v>
      </c>
      <c r="Y58" s="362" t="s">
        <v>1</v>
      </c>
      <c r="Z58" s="362">
        <f>+Z12+Z18+Z34+Z49+Z56</f>
        <v>0</v>
      </c>
      <c r="AA58" s="362">
        <f>+AA12+AA18+AA34+AA49+AA56</f>
        <v>0</v>
      </c>
      <c r="AB58" s="362">
        <f>+AB12+AB18+AB34+AB49+AB56</f>
        <v>0</v>
      </c>
      <c r="AC58" s="362">
        <f>+AC12+AC18+AC34+AC49+AC56</f>
        <v>0</v>
      </c>
      <c r="AD58" s="362">
        <f>+AD12+AD18+AD34+AD49+AD56</f>
        <v>0</v>
      </c>
      <c r="AE58" s="362" t="s">
        <v>1</v>
      </c>
      <c r="AF58" s="362" t="s">
        <v>1</v>
      </c>
      <c r="AG58" s="362">
        <f>+AG12+AG18+AG34+AG49+AG56</f>
        <v>0</v>
      </c>
      <c r="AH58" s="362">
        <f>+AH12+AH18+AH34+AH49+AH56</f>
        <v>0</v>
      </c>
      <c r="AI58" s="362">
        <f>+AI12+AI18+AI34+AI49+AI56</f>
        <v>0</v>
      </c>
      <c r="AJ58" s="362">
        <f>+AJ12+AJ18+AJ34+AJ49+AJ56</f>
        <v>0</v>
      </c>
      <c r="AK58" s="362">
        <f>+AK12+AK18+AK34+AK49+AK56</f>
        <v>0</v>
      </c>
    </row>
    <row r="59" spans="1:37" s="16" customFormat="1" ht="13.5">
      <c r="A59" s="43"/>
      <c r="B59" s="253"/>
      <c r="C59" s="254"/>
      <c r="D59" s="43"/>
      <c r="E59" s="43"/>
      <c r="F59" s="43"/>
      <c r="G59" s="253"/>
      <c r="H59" s="43"/>
      <c r="I59" s="43"/>
      <c r="J59" s="43"/>
      <c r="K59" s="43"/>
      <c r="L59" s="43"/>
      <c r="M59" s="43"/>
      <c r="N59" s="253"/>
      <c r="O59" s="43" t="s">
        <v>0</v>
      </c>
      <c r="P59" s="43"/>
      <c r="Q59" s="43"/>
      <c r="R59" s="5"/>
      <c r="S59" s="5"/>
      <c r="T59" s="5"/>
      <c r="U59" s="5"/>
      <c r="X59" s="43"/>
      <c r="Y59" s="43"/>
      <c r="Z59" s="253"/>
      <c r="AA59" s="43"/>
      <c r="AB59" s="43"/>
      <c r="AC59" s="43"/>
      <c r="AD59" s="43"/>
      <c r="AE59" s="43"/>
      <c r="AF59" s="43"/>
      <c r="AG59" s="253"/>
      <c r="AH59" s="43"/>
      <c r="AI59" s="43"/>
      <c r="AJ59" s="43"/>
      <c r="AK59" s="43"/>
    </row>
    <row r="61" ht="13.5">
      <c r="B61" s="5" t="s">
        <v>230</v>
      </c>
    </row>
    <row r="62" spans="2:33" ht="27.75" customHeight="1">
      <c r="B62" s="191" t="s">
        <v>420</v>
      </c>
      <c r="C62" s="191"/>
      <c r="D62" s="324"/>
      <c r="E62" s="324"/>
      <c r="F62" s="324"/>
      <c r="G62" s="324"/>
      <c r="L62" s="324"/>
      <c r="X62" s="324"/>
      <c r="Y62" s="324"/>
      <c r="Z62" s="324"/>
      <c r="AE62" s="324"/>
      <c r="AF62" s="324"/>
      <c r="AG62" s="324"/>
    </row>
    <row r="63" spans="2:9" ht="48" customHeight="1">
      <c r="B63" s="963" t="s">
        <v>419</v>
      </c>
      <c r="C63" s="964"/>
      <c r="D63" s="964"/>
      <c r="E63" s="964"/>
      <c r="F63" s="964"/>
      <c r="G63" s="964"/>
      <c r="H63" s="964"/>
      <c r="I63" s="964"/>
    </row>
    <row r="64" spans="2:33" ht="29.25" customHeight="1">
      <c r="B64" s="592" t="s">
        <v>486</v>
      </c>
      <c r="C64" s="324"/>
      <c r="D64" s="324"/>
      <c r="E64" s="324"/>
      <c r="F64" s="324"/>
      <c r="G64" s="324"/>
      <c r="L64" s="324"/>
      <c r="X64" s="324"/>
      <c r="Y64" s="324"/>
      <c r="Z64" s="324"/>
      <c r="AE64" s="324"/>
      <c r="AF64" s="324"/>
      <c r="AG64" s="324"/>
    </row>
    <row r="65" spans="2:10" ht="36" customHeight="1">
      <c r="B65" s="965" t="s">
        <v>490</v>
      </c>
      <c r="C65" s="965"/>
      <c r="D65" s="965"/>
      <c r="E65" s="965"/>
      <c r="F65" s="965"/>
      <c r="G65" s="965"/>
      <c r="H65" s="965"/>
      <c r="I65" s="965"/>
      <c r="J65" s="965"/>
    </row>
  </sheetData>
  <sheetProtection/>
  <mergeCells count="5">
    <mergeCell ref="P2:R2"/>
    <mergeCell ref="N4:R4"/>
    <mergeCell ref="S4:W4"/>
    <mergeCell ref="B63:I63"/>
    <mergeCell ref="B65:J65"/>
  </mergeCells>
  <printOptions/>
  <pageMargins left="0.75" right="0.75" top="1" bottom="1" header="0.5" footer="0.5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Q69"/>
  <sheetViews>
    <sheetView zoomScalePageLayoutView="0" workbookViewId="0" topLeftCell="A1">
      <selection activeCell="B4" sqref="B3:M4"/>
    </sheetView>
  </sheetViews>
  <sheetFormatPr defaultColWidth="9.140625" defaultRowHeight="12.75"/>
  <cols>
    <col min="1" max="1" width="3.57421875" style="4" customWidth="1"/>
    <col min="2" max="2" width="27.421875" style="5" customWidth="1"/>
    <col min="3" max="3" width="18.140625" style="5" customWidth="1"/>
    <col min="4" max="4" width="8.140625" style="5" customWidth="1"/>
    <col min="5" max="5" width="12.57421875" style="5" customWidth="1"/>
    <col min="6" max="6" width="11.57421875" style="5" customWidth="1"/>
    <col min="7" max="7" width="10.57421875" style="5" customWidth="1"/>
    <col min="8" max="8" width="12.140625" style="5" customWidth="1"/>
    <col min="9" max="9" width="8.00390625" style="5" customWidth="1"/>
    <col min="10" max="10" width="13.28125" style="5" customWidth="1"/>
    <col min="11" max="11" width="10.57421875" style="5" customWidth="1"/>
    <col min="12" max="12" width="9.00390625" style="5" customWidth="1"/>
    <col min="13" max="14" width="10.57421875" style="5" customWidth="1"/>
    <col min="15" max="15" width="8.00390625" style="5" customWidth="1"/>
    <col min="16" max="16" width="11.57421875" style="5" customWidth="1"/>
    <col min="17" max="19" width="9.7109375" style="5" customWidth="1"/>
    <col min="20" max="20" width="9.8515625" style="21" customWidth="1"/>
    <col min="21" max="24" width="12.28125" style="5" customWidth="1"/>
    <col min="25" max="25" width="12.57421875" style="5" customWidth="1"/>
    <col min="26" max="26" width="11.57421875" style="5" customWidth="1"/>
    <col min="27" max="27" width="10.57421875" style="5" customWidth="1"/>
    <col min="28" max="28" width="12.140625" style="5" customWidth="1"/>
    <col min="29" max="29" width="8.00390625" style="5" customWidth="1"/>
    <col min="30" max="30" width="13.28125" style="5" customWidth="1"/>
    <col min="31" max="31" width="10.57421875" style="5" customWidth="1"/>
    <col min="32" max="32" width="9.00390625" style="5" customWidth="1"/>
    <col min="33" max="33" width="10.57421875" style="5" customWidth="1"/>
    <col min="34" max="34" width="12.57421875" style="5" customWidth="1"/>
    <col min="35" max="35" width="11.57421875" style="5" customWidth="1"/>
    <col min="36" max="36" width="10.57421875" style="5" customWidth="1"/>
    <col min="37" max="37" width="12.140625" style="5" customWidth="1"/>
    <col min="38" max="38" width="8.00390625" style="5" customWidth="1"/>
    <col min="39" max="39" width="13.28125" style="5" customWidth="1"/>
    <col min="40" max="40" width="10.57421875" style="5" customWidth="1"/>
    <col min="41" max="41" width="9.00390625" style="5" customWidth="1"/>
    <col min="42" max="42" width="10.57421875" style="5" customWidth="1"/>
    <col min="43" max="16384" width="9.140625" style="5" customWidth="1"/>
  </cols>
  <sheetData>
    <row r="1" spans="1:43" ht="16.5">
      <c r="A1" s="32"/>
      <c r="B1" s="236" t="s">
        <v>218</v>
      </c>
      <c r="C1" s="33"/>
      <c r="D1" s="33"/>
      <c r="E1" s="33"/>
      <c r="F1" s="33"/>
      <c r="G1" s="33"/>
      <c r="H1" s="33"/>
      <c r="I1" s="33"/>
      <c r="J1" s="33"/>
      <c r="K1" s="3"/>
      <c r="L1" s="32"/>
      <c r="M1" s="137" t="s">
        <v>238</v>
      </c>
      <c r="N1" s="137"/>
      <c r="O1" s="33"/>
      <c r="P1" s="138"/>
      <c r="Q1" s="32"/>
      <c r="R1" s="137"/>
      <c r="S1" s="33"/>
      <c r="T1" s="360"/>
      <c r="U1" s="33"/>
      <c r="V1" s="138"/>
      <c r="W1" s="33"/>
      <c r="X1" s="138"/>
      <c r="Y1" s="190"/>
      <c r="Z1" s="190"/>
      <c r="AA1" s="190"/>
      <c r="AB1" s="190"/>
      <c r="AC1" s="190"/>
      <c r="AD1" s="190"/>
      <c r="AE1" s="3"/>
      <c r="AF1" s="328"/>
      <c r="AG1" s="137"/>
      <c r="AH1" s="190"/>
      <c r="AI1" s="190"/>
      <c r="AJ1" s="190"/>
      <c r="AK1" s="190"/>
      <c r="AL1" s="190"/>
      <c r="AM1" s="190"/>
      <c r="AN1" s="3"/>
      <c r="AO1" s="328"/>
      <c r="AP1" s="137"/>
      <c r="AQ1" s="191"/>
    </row>
    <row r="2" spans="1:43" ht="16.5" customHeight="1" thickBot="1">
      <c r="A2" s="32"/>
      <c r="B2" s="24"/>
      <c r="C2" s="187"/>
      <c r="D2" s="187"/>
      <c r="E2" s="187"/>
      <c r="F2" s="187"/>
      <c r="G2" s="187"/>
      <c r="H2" s="187"/>
      <c r="I2" s="24"/>
      <c r="J2" s="187"/>
      <c r="K2" s="188"/>
      <c r="M2" s="422" t="s">
        <v>27</v>
      </c>
      <c r="N2" s="152"/>
      <c r="O2" s="152"/>
      <c r="P2" s="152"/>
      <c r="Q2" s="152"/>
      <c r="R2" s="152"/>
      <c r="S2" s="152"/>
      <c r="T2" s="255"/>
      <c r="U2" s="152"/>
      <c r="V2" s="152"/>
      <c r="W2" s="152"/>
      <c r="X2" s="152"/>
      <c r="Y2" s="9"/>
      <c r="Z2" s="9"/>
      <c r="AA2" s="9"/>
      <c r="AB2" s="9"/>
      <c r="AC2" s="6"/>
      <c r="AD2" s="9"/>
      <c r="AE2" s="188"/>
      <c r="AF2" s="191"/>
      <c r="AG2" s="422"/>
      <c r="AH2" s="9"/>
      <c r="AI2" s="9"/>
      <c r="AJ2" s="9"/>
      <c r="AK2" s="9"/>
      <c r="AL2" s="6"/>
      <c r="AM2" s="9"/>
      <c r="AN2" s="188"/>
      <c r="AO2" s="191"/>
      <c r="AP2" s="422"/>
      <c r="AQ2" s="191"/>
    </row>
    <row r="3" spans="1:42" s="191" customFormat="1" ht="25.5" customHeight="1">
      <c r="A3" s="32"/>
      <c r="B3" s="423" t="s">
        <v>28</v>
      </c>
      <c r="C3" s="138"/>
      <c r="D3" s="138"/>
      <c r="E3" s="138"/>
      <c r="F3" s="138"/>
      <c r="G3" s="138"/>
      <c r="H3" s="33"/>
      <c r="I3" s="189"/>
      <c r="J3" s="33"/>
      <c r="K3" s="33"/>
      <c r="L3" s="33"/>
      <c r="M3" s="43" t="s">
        <v>216</v>
      </c>
      <c r="N3" s="43"/>
      <c r="O3" s="36"/>
      <c r="P3" s="190"/>
      <c r="Q3" s="33"/>
      <c r="R3" s="43"/>
      <c r="S3" s="36"/>
      <c r="T3" s="317"/>
      <c r="U3" s="36"/>
      <c r="V3" s="190"/>
      <c r="W3" s="36"/>
      <c r="X3" s="190"/>
      <c r="Y3" s="138"/>
      <c r="Z3" s="138"/>
      <c r="AA3" s="138"/>
      <c r="AB3" s="33"/>
      <c r="AC3" s="189"/>
      <c r="AD3" s="33"/>
      <c r="AE3" s="33"/>
      <c r="AF3" s="33"/>
      <c r="AG3" s="43" t="s">
        <v>216</v>
      </c>
      <c r="AH3" s="138"/>
      <c r="AI3" s="138"/>
      <c r="AJ3" s="138"/>
      <c r="AK3" s="33"/>
      <c r="AL3" s="189"/>
      <c r="AM3" s="33"/>
      <c r="AN3" s="33"/>
      <c r="AO3" s="33"/>
      <c r="AP3" s="43" t="s">
        <v>216</v>
      </c>
    </row>
    <row r="4" spans="1:42" s="191" customFormat="1" ht="13.5" customHeight="1">
      <c r="A4" s="239"/>
      <c r="B4" s="240"/>
      <c r="C4" s="241"/>
      <c r="D4" s="242"/>
      <c r="E4" s="242"/>
      <c r="F4" s="242"/>
      <c r="G4" s="242"/>
      <c r="H4" s="966" t="s">
        <v>452</v>
      </c>
      <c r="I4" s="966"/>
      <c r="J4" s="966"/>
      <c r="K4" s="966"/>
      <c r="L4" s="966"/>
      <c r="M4" s="967"/>
      <c r="N4" s="969" t="s">
        <v>462</v>
      </c>
      <c r="O4" s="970"/>
      <c r="P4" s="970"/>
      <c r="Q4" s="970"/>
      <c r="R4" s="970"/>
      <c r="S4" s="971"/>
      <c r="T4" s="972" t="s">
        <v>217</v>
      </c>
      <c r="U4" s="961"/>
      <c r="V4" s="961"/>
      <c r="W4" s="961"/>
      <c r="X4" s="962"/>
      <c r="Y4" s="242"/>
      <c r="Z4" s="242"/>
      <c r="AA4" s="242"/>
      <c r="AB4" s="966" t="s">
        <v>471</v>
      </c>
      <c r="AC4" s="966"/>
      <c r="AD4" s="966"/>
      <c r="AE4" s="966"/>
      <c r="AF4" s="966"/>
      <c r="AG4" s="967"/>
      <c r="AH4" s="242"/>
      <c r="AI4" s="242"/>
      <c r="AJ4" s="242"/>
      <c r="AK4" s="966" t="s">
        <v>502</v>
      </c>
      <c r="AL4" s="966"/>
      <c r="AM4" s="966"/>
      <c r="AN4" s="966"/>
      <c r="AO4" s="966"/>
      <c r="AP4" s="967"/>
    </row>
    <row r="5" spans="1:42" s="191" customFormat="1" ht="114.75">
      <c r="A5" s="243" t="s">
        <v>111</v>
      </c>
      <c r="B5" s="66" t="s">
        <v>219</v>
      </c>
      <c r="C5" s="66" t="s">
        <v>220</v>
      </c>
      <c r="D5" s="66" t="s">
        <v>221</v>
      </c>
      <c r="E5" s="66" t="s">
        <v>425</v>
      </c>
      <c r="F5" s="562" t="s">
        <v>525</v>
      </c>
      <c r="G5" s="66" t="s">
        <v>222</v>
      </c>
      <c r="H5" s="562" t="s">
        <v>457</v>
      </c>
      <c r="I5" s="66" t="s">
        <v>212</v>
      </c>
      <c r="J5" s="325" t="s">
        <v>293</v>
      </c>
      <c r="K5" s="66" t="s">
        <v>285</v>
      </c>
      <c r="L5" s="66" t="s">
        <v>224</v>
      </c>
      <c r="M5" s="66" t="s">
        <v>255</v>
      </c>
      <c r="N5" s="562" t="s">
        <v>456</v>
      </c>
      <c r="O5" s="66" t="s">
        <v>212</v>
      </c>
      <c r="P5" s="66" t="s">
        <v>284</v>
      </c>
      <c r="Q5" s="66" t="s">
        <v>285</v>
      </c>
      <c r="R5" s="66" t="s">
        <v>224</v>
      </c>
      <c r="S5" s="66" t="s">
        <v>255</v>
      </c>
      <c r="T5" s="359" t="s">
        <v>212</v>
      </c>
      <c r="U5" s="66" t="s">
        <v>284</v>
      </c>
      <c r="V5" s="66" t="s">
        <v>285</v>
      </c>
      <c r="W5" s="66" t="s">
        <v>224</v>
      </c>
      <c r="X5" s="66" t="s">
        <v>255</v>
      </c>
      <c r="Y5" s="66" t="s">
        <v>425</v>
      </c>
      <c r="Z5" s="562" t="s">
        <v>525</v>
      </c>
      <c r="AA5" s="66" t="s">
        <v>222</v>
      </c>
      <c r="AB5" s="562" t="s">
        <v>475</v>
      </c>
      <c r="AC5" s="66" t="s">
        <v>212</v>
      </c>
      <c r="AD5" s="66" t="s">
        <v>284</v>
      </c>
      <c r="AE5" s="66" t="s">
        <v>285</v>
      </c>
      <c r="AF5" s="66" t="s">
        <v>224</v>
      </c>
      <c r="AG5" s="66" t="s">
        <v>255</v>
      </c>
      <c r="AH5" s="66" t="s">
        <v>425</v>
      </c>
      <c r="AI5" s="562" t="s">
        <v>525</v>
      </c>
      <c r="AJ5" s="66" t="s">
        <v>222</v>
      </c>
      <c r="AK5" s="562" t="s">
        <v>522</v>
      </c>
      <c r="AL5" s="66" t="s">
        <v>212</v>
      </c>
      <c r="AM5" s="66" t="s">
        <v>284</v>
      </c>
      <c r="AN5" s="66" t="s">
        <v>285</v>
      </c>
      <c r="AO5" s="66" t="s">
        <v>224</v>
      </c>
      <c r="AP5" s="66" t="s">
        <v>255</v>
      </c>
    </row>
    <row r="6" spans="1:42" s="37" customFormat="1" ht="12.75">
      <c r="A6" s="127">
        <v>1</v>
      </c>
      <c r="B6" s="127">
        <v>2</v>
      </c>
      <c r="C6" s="127">
        <v>3</v>
      </c>
      <c r="D6" s="127">
        <v>4</v>
      </c>
      <c r="E6" s="127">
        <v>5</v>
      </c>
      <c r="F6" s="127">
        <v>6</v>
      </c>
      <c r="G6" s="127">
        <v>7</v>
      </c>
      <c r="H6" s="127">
        <v>8</v>
      </c>
      <c r="I6" s="127">
        <v>9</v>
      </c>
      <c r="J6" s="127">
        <v>10</v>
      </c>
      <c r="K6" s="127">
        <v>11</v>
      </c>
      <c r="L6" s="127">
        <v>12</v>
      </c>
      <c r="M6" s="127">
        <v>13</v>
      </c>
      <c r="N6" s="127">
        <v>14</v>
      </c>
      <c r="O6" s="127">
        <v>15</v>
      </c>
      <c r="P6" s="127">
        <v>16</v>
      </c>
      <c r="Q6" s="127">
        <v>17</v>
      </c>
      <c r="R6" s="127">
        <v>18</v>
      </c>
      <c r="S6" s="127">
        <v>19</v>
      </c>
      <c r="T6" s="361">
        <v>20</v>
      </c>
      <c r="U6" s="127">
        <v>21</v>
      </c>
      <c r="V6" s="127">
        <v>22</v>
      </c>
      <c r="W6" s="127">
        <v>23</v>
      </c>
      <c r="X6" s="127">
        <v>24</v>
      </c>
      <c r="Y6" s="127">
        <v>25</v>
      </c>
      <c r="Z6" s="127">
        <v>26</v>
      </c>
      <c r="AA6" s="127">
        <v>27</v>
      </c>
      <c r="AB6" s="127">
        <v>28</v>
      </c>
      <c r="AC6" s="127">
        <v>29</v>
      </c>
      <c r="AD6" s="127">
        <v>30</v>
      </c>
      <c r="AE6" s="127">
        <v>31</v>
      </c>
      <c r="AF6" s="127">
        <v>32</v>
      </c>
      <c r="AG6" s="127">
        <v>33</v>
      </c>
      <c r="AH6" s="127">
        <v>34</v>
      </c>
      <c r="AI6" s="127">
        <v>35</v>
      </c>
      <c r="AJ6" s="127">
        <v>36</v>
      </c>
      <c r="AK6" s="127">
        <v>37</v>
      </c>
      <c r="AL6" s="127">
        <v>38</v>
      </c>
      <c r="AM6" s="127">
        <v>39</v>
      </c>
      <c r="AN6" s="127">
        <v>40</v>
      </c>
      <c r="AO6" s="127">
        <v>41</v>
      </c>
      <c r="AP6" s="127">
        <v>42</v>
      </c>
    </row>
    <row r="7" spans="1:42" ht="14.25">
      <c r="A7" s="244" t="s">
        <v>2</v>
      </c>
      <c r="B7" s="245" t="s">
        <v>418</v>
      </c>
      <c r="C7" s="246"/>
      <c r="D7" s="246"/>
      <c r="E7" s="246"/>
      <c r="F7" s="246"/>
      <c r="G7" s="246"/>
      <c r="H7" s="246"/>
      <c r="I7" s="245"/>
      <c r="J7" s="246"/>
      <c r="K7" s="246"/>
      <c r="L7" s="246"/>
      <c r="M7" s="246"/>
      <c r="N7" s="246"/>
      <c r="O7" s="245"/>
      <c r="P7" s="246"/>
      <c r="Q7" s="246"/>
      <c r="R7" s="246"/>
      <c r="S7" s="245"/>
      <c r="T7" s="321"/>
      <c r="U7" s="245"/>
      <c r="V7" s="246"/>
      <c r="W7" s="109"/>
      <c r="X7" s="109"/>
      <c r="Y7" s="246"/>
      <c r="Z7" s="246"/>
      <c r="AA7" s="246"/>
      <c r="AB7" s="246"/>
      <c r="AC7" s="245"/>
      <c r="AD7" s="246"/>
      <c r="AE7" s="246"/>
      <c r="AF7" s="246"/>
      <c r="AG7" s="246"/>
      <c r="AH7" s="246"/>
      <c r="AI7" s="246"/>
      <c r="AJ7" s="246"/>
      <c r="AK7" s="246"/>
      <c r="AL7" s="245"/>
      <c r="AM7" s="246"/>
      <c r="AN7" s="246"/>
      <c r="AO7" s="246"/>
      <c r="AP7" s="246"/>
    </row>
    <row r="8" spans="1:42" ht="13.5">
      <c r="A8" s="232"/>
      <c r="B8" s="207" t="s">
        <v>123</v>
      </c>
      <c r="C8" s="246"/>
      <c r="D8" s="246"/>
      <c r="E8" s="246"/>
      <c r="F8" s="246"/>
      <c r="G8" s="246"/>
      <c r="H8" s="246"/>
      <c r="I8" s="207"/>
      <c r="J8" s="246"/>
      <c r="K8" s="246"/>
      <c r="L8" s="246"/>
      <c r="M8" s="246"/>
      <c r="N8" s="246"/>
      <c r="O8" s="207"/>
      <c r="P8" s="246"/>
      <c r="Q8" s="246"/>
      <c r="R8" s="246"/>
      <c r="S8" s="207"/>
      <c r="T8" s="321"/>
      <c r="U8" s="207"/>
      <c r="V8" s="246"/>
      <c r="W8" s="109"/>
      <c r="X8" s="109"/>
      <c r="Y8" s="246"/>
      <c r="Z8" s="246"/>
      <c r="AA8" s="246"/>
      <c r="AB8" s="246"/>
      <c r="AC8" s="207"/>
      <c r="AD8" s="246"/>
      <c r="AE8" s="246"/>
      <c r="AF8" s="246"/>
      <c r="AG8" s="246"/>
      <c r="AH8" s="246"/>
      <c r="AI8" s="246"/>
      <c r="AJ8" s="246"/>
      <c r="AK8" s="246"/>
      <c r="AL8" s="207"/>
      <c r="AM8" s="246"/>
      <c r="AN8" s="246"/>
      <c r="AO8" s="246"/>
      <c r="AP8" s="246"/>
    </row>
    <row r="9" spans="1:42" ht="13.5">
      <c r="A9" s="232">
        <v>1</v>
      </c>
      <c r="B9" s="104"/>
      <c r="C9" s="232"/>
      <c r="D9" s="246" t="s">
        <v>1</v>
      </c>
      <c r="E9" s="246"/>
      <c r="F9" s="246"/>
      <c r="G9" s="246" t="s">
        <v>1</v>
      </c>
      <c r="H9" s="246"/>
      <c r="I9" s="104"/>
      <c r="J9" s="232"/>
      <c r="K9" s="232"/>
      <c r="L9" s="232"/>
      <c r="M9" s="246">
        <f>J9+K9+L9</f>
        <v>0</v>
      </c>
      <c r="N9" s="246"/>
      <c r="O9" s="104"/>
      <c r="P9" s="232"/>
      <c r="Q9" s="232"/>
      <c r="R9" s="232"/>
      <c r="S9" s="246">
        <f>P9+Q9+R9</f>
        <v>0</v>
      </c>
      <c r="T9" s="321">
        <f>I9-O9</f>
        <v>0</v>
      </c>
      <c r="U9" s="246">
        <f>J9-P9</f>
        <v>0</v>
      </c>
      <c r="V9" s="246">
        <f>K9-Q9</f>
        <v>0</v>
      </c>
      <c r="W9" s="246">
        <f>L9-R9</f>
        <v>0</v>
      </c>
      <c r="X9" s="246">
        <f>U9+V9+W9</f>
        <v>0</v>
      </c>
      <c r="Y9" s="246"/>
      <c r="Z9" s="246"/>
      <c r="AA9" s="246" t="s">
        <v>1</v>
      </c>
      <c r="AB9" s="246"/>
      <c r="AC9" s="104"/>
      <c r="AD9" s="232"/>
      <c r="AE9" s="232"/>
      <c r="AF9" s="232"/>
      <c r="AG9" s="246">
        <f>AD9+AE9+AF9</f>
        <v>0</v>
      </c>
      <c r="AH9" s="246"/>
      <c r="AI9" s="246"/>
      <c r="AJ9" s="246" t="s">
        <v>1</v>
      </c>
      <c r="AK9" s="246"/>
      <c r="AL9" s="104"/>
      <c r="AM9" s="232"/>
      <c r="AN9" s="232"/>
      <c r="AO9" s="232"/>
      <c r="AP9" s="246">
        <f>AM9+AN9+AO9</f>
        <v>0</v>
      </c>
    </row>
    <row r="10" spans="1:42" ht="13.5">
      <c r="A10" s="232">
        <v>2</v>
      </c>
      <c r="B10" s="104"/>
      <c r="C10" s="232"/>
      <c r="D10" s="246" t="s">
        <v>1</v>
      </c>
      <c r="E10" s="246"/>
      <c r="F10" s="246"/>
      <c r="G10" s="246" t="s">
        <v>1</v>
      </c>
      <c r="H10" s="246"/>
      <c r="I10" s="104"/>
      <c r="J10" s="232"/>
      <c r="K10" s="232"/>
      <c r="L10" s="232"/>
      <c r="M10" s="246">
        <f>J10+K10+L10</f>
        <v>0</v>
      </c>
      <c r="N10" s="246"/>
      <c r="O10" s="104"/>
      <c r="P10" s="232"/>
      <c r="Q10" s="232"/>
      <c r="R10" s="232"/>
      <c r="S10" s="246">
        <f>P10+Q10+R10</f>
        <v>0</v>
      </c>
      <c r="T10" s="321">
        <f aca="true" t="shared" si="0" ref="T10:T60">I10-O10</f>
        <v>0</v>
      </c>
      <c r="U10" s="246">
        <f aca="true" t="shared" si="1" ref="U10:U60">J10-P10</f>
        <v>0</v>
      </c>
      <c r="V10" s="246">
        <f aca="true" t="shared" si="2" ref="V10:V60">K10-Q10</f>
        <v>0</v>
      </c>
      <c r="W10" s="246">
        <f aca="true" t="shared" si="3" ref="W10:W60">L10-R10</f>
        <v>0</v>
      </c>
      <c r="X10" s="246">
        <f aca="true" t="shared" si="4" ref="X10:X60">U10+V10+W10</f>
        <v>0</v>
      </c>
      <c r="Y10" s="246"/>
      <c r="Z10" s="246"/>
      <c r="AA10" s="246" t="s">
        <v>1</v>
      </c>
      <c r="AB10" s="246"/>
      <c r="AC10" s="104"/>
      <c r="AD10" s="232"/>
      <c r="AE10" s="232"/>
      <c r="AF10" s="232"/>
      <c r="AG10" s="246">
        <f>AD10+AE10+AF10</f>
        <v>0</v>
      </c>
      <c r="AH10" s="246"/>
      <c r="AI10" s="246"/>
      <c r="AJ10" s="246" t="s">
        <v>1</v>
      </c>
      <c r="AK10" s="246"/>
      <c r="AL10" s="104"/>
      <c r="AM10" s="232"/>
      <c r="AN10" s="232"/>
      <c r="AO10" s="232"/>
      <c r="AP10" s="246">
        <f>AM10+AN10+AO10</f>
        <v>0</v>
      </c>
    </row>
    <row r="11" spans="1:42" ht="13.5">
      <c r="A11" s="232">
        <v>3</v>
      </c>
      <c r="B11" s="104"/>
      <c r="C11" s="232"/>
      <c r="D11" s="246" t="s">
        <v>1</v>
      </c>
      <c r="E11" s="246"/>
      <c r="F11" s="246"/>
      <c r="G11" s="246" t="s">
        <v>1</v>
      </c>
      <c r="H11" s="246"/>
      <c r="I11" s="104"/>
      <c r="J11" s="232"/>
      <c r="K11" s="232"/>
      <c r="L11" s="232"/>
      <c r="M11" s="246">
        <f>J11+K11+L11</f>
        <v>0</v>
      </c>
      <c r="N11" s="246"/>
      <c r="O11" s="104"/>
      <c r="P11" s="232"/>
      <c r="Q11" s="232"/>
      <c r="R11" s="232"/>
      <c r="S11" s="246">
        <f>P11+Q11+R11</f>
        <v>0</v>
      </c>
      <c r="T11" s="321">
        <f t="shared" si="0"/>
        <v>0</v>
      </c>
      <c r="U11" s="246">
        <f t="shared" si="1"/>
        <v>0</v>
      </c>
      <c r="V11" s="246">
        <f t="shared" si="2"/>
        <v>0</v>
      </c>
      <c r="W11" s="246">
        <f t="shared" si="3"/>
        <v>0</v>
      </c>
      <c r="X11" s="246">
        <f t="shared" si="4"/>
        <v>0</v>
      </c>
      <c r="Y11" s="246"/>
      <c r="Z11" s="246"/>
      <c r="AA11" s="246" t="s">
        <v>1</v>
      </c>
      <c r="AB11" s="246"/>
      <c r="AC11" s="104"/>
      <c r="AD11" s="232"/>
      <c r="AE11" s="232"/>
      <c r="AF11" s="232"/>
      <c r="AG11" s="246">
        <f>AD11+AE11+AF11</f>
        <v>0</v>
      </c>
      <c r="AH11" s="246"/>
      <c r="AI11" s="246"/>
      <c r="AJ11" s="246" t="s">
        <v>1</v>
      </c>
      <c r="AK11" s="246"/>
      <c r="AL11" s="104"/>
      <c r="AM11" s="232"/>
      <c r="AN11" s="232"/>
      <c r="AO11" s="232"/>
      <c r="AP11" s="246">
        <f>AM11+AN11+AO11</f>
        <v>0</v>
      </c>
    </row>
    <row r="12" spans="1:42" ht="13.5">
      <c r="A12" s="232"/>
      <c r="B12" s="104"/>
      <c r="C12" s="232"/>
      <c r="D12" s="246"/>
      <c r="E12" s="246"/>
      <c r="F12" s="246"/>
      <c r="G12" s="246"/>
      <c r="H12" s="246"/>
      <c r="I12" s="104"/>
      <c r="J12" s="232"/>
      <c r="K12" s="232"/>
      <c r="L12" s="232"/>
      <c r="M12" s="246"/>
      <c r="N12" s="246"/>
      <c r="O12" s="104"/>
      <c r="P12" s="232"/>
      <c r="Q12" s="246"/>
      <c r="R12" s="246"/>
      <c r="S12" s="104"/>
      <c r="T12" s="321">
        <f t="shared" si="0"/>
        <v>0</v>
      </c>
      <c r="U12" s="246">
        <f t="shared" si="1"/>
        <v>0</v>
      </c>
      <c r="V12" s="246">
        <f t="shared" si="2"/>
        <v>0</v>
      </c>
      <c r="W12" s="246">
        <f t="shared" si="3"/>
        <v>0</v>
      </c>
      <c r="X12" s="246">
        <f t="shared" si="4"/>
        <v>0</v>
      </c>
      <c r="Y12" s="246"/>
      <c r="Z12" s="246"/>
      <c r="AA12" s="246"/>
      <c r="AB12" s="246"/>
      <c r="AC12" s="104"/>
      <c r="AD12" s="232"/>
      <c r="AE12" s="232"/>
      <c r="AF12" s="232"/>
      <c r="AG12" s="246"/>
      <c r="AH12" s="246"/>
      <c r="AI12" s="246"/>
      <c r="AJ12" s="246"/>
      <c r="AK12" s="246"/>
      <c r="AL12" s="104"/>
      <c r="AM12" s="232"/>
      <c r="AN12" s="232"/>
      <c r="AO12" s="232"/>
      <c r="AP12" s="246"/>
    </row>
    <row r="13" spans="1:42" s="249" customFormat="1" ht="14.25">
      <c r="A13" s="244"/>
      <c r="B13" s="247" t="s">
        <v>110</v>
      </c>
      <c r="C13" s="248" t="s">
        <v>1</v>
      </c>
      <c r="D13" s="248" t="s">
        <v>1</v>
      </c>
      <c r="E13" s="248" t="s">
        <v>1</v>
      </c>
      <c r="F13" s="248" t="s">
        <v>1</v>
      </c>
      <c r="G13" s="248" t="s">
        <v>1</v>
      </c>
      <c r="H13" s="248" t="s">
        <v>1</v>
      </c>
      <c r="I13" s="248">
        <f>SUM(I9:I11)</f>
        <v>0</v>
      </c>
      <c r="J13" s="248">
        <f>SUM(J9:J11)</f>
        <v>0</v>
      </c>
      <c r="K13" s="248">
        <f>SUM(K9:K11)</f>
        <v>0</v>
      </c>
      <c r="L13" s="248">
        <f>SUM(L9:L11)</f>
        <v>0</v>
      </c>
      <c r="M13" s="248">
        <f>SUM(M9:M11)</f>
        <v>0</v>
      </c>
      <c r="N13" s="248" t="s">
        <v>1</v>
      </c>
      <c r="O13" s="248">
        <f aca="true" t="shared" si="5" ref="O13:X13">SUM(O9:O11)</f>
        <v>0</v>
      </c>
      <c r="P13" s="248">
        <f t="shared" si="5"/>
        <v>0</v>
      </c>
      <c r="Q13" s="248">
        <f t="shared" si="5"/>
        <v>0</v>
      </c>
      <c r="R13" s="248">
        <f t="shared" si="5"/>
        <v>0</v>
      </c>
      <c r="S13" s="248">
        <f t="shared" si="5"/>
        <v>0</v>
      </c>
      <c r="T13" s="248">
        <f t="shared" si="5"/>
        <v>0</v>
      </c>
      <c r="U13" s="248">
        <f t="shared" si="5"/>
        <v>0</v>
      </c>
      <c r="V13" s="248">
        <f t="shared" si="5"/>
        <v>0</v>
      </c>
      <c r="W13" s="248">
        <f t="shared" si="5"/>
        <v>0</v>
      </c>
      <c r="X13" s="248">
        <f t="shared" si="5"/>
        <v>0</v>
      </c>
      <c r="Y13" s="248" t="s">
        <v>1</v>
      </c>
      <c r="Z13" s="248" t="s">
        <v>1</v>
      </c>
      <c r="AA13" s="248" t="s">
        <v>1</v>
      </c>
      <c r="AB13" s="248" t="s">
        <v>1</v>
      </c>
      <c r="AC13" s="248">
        <f>SUM(AC9:AC11)</f>
        <v>0</v>
      </c>
      <c r="AD13" s="248">
        <f>SUM(AD9:AD11)</f>
        <v>0</v>
      </c>
      <c r="AE13" s="248">
        <f>SUM(AE9:AE11)</f>
        <v>0</v>
      </c>
      <c r="AF13" s="248">
        <f>SUM(AF9:AF11)</f>
        <v>0</v>
      </c>
      <c r="AG13" s="248">
        <f>SUM(AG9:AG11)</f>
        <v>0</v>
      </c>
      <c r="AH13" s="248" t="s">
        <v>1</v>
      </c>
      <c r="AI13" s="248" t="s">
        <v>1</v>
      </c>
      <c r="AJ13" s="248" t="s">
        <v>1</v>
      </c>
      <c r="AK13" s="248" t="s">
        <v>1</v>
      </c>
      <c r="AL13" s="248">
        <f>SUM(AL9:AL11)</f>
        <v>0</v>
      </c>
      <c r="AM13" s="248">
        <f>SUM(AM9:AM11)</f>
        <v>0</v>
      </c>
      <c r="AN13" s="248">
        <f>SUM(AN9:AN11)</f>
        <v>0</v>
      </c>
      <c r="AO13" s="248">
        <f>SUM(AO9:AO11)</f>
        <v>0</v>
      </c>
      <c r="AP13" s="248">
        <f>SUM(AP9:AP11)</f>
        <v>0</v>
      </c>
    </row>
    <row r="14" spans="1:42" ht="13.5">
      <c r="A14" s="232"/>
      <c r="B14" s="247"/>
      <c r="C14" s="246"/>
      <c r="D14" s="246"/>
      <c r="E14" s="246"/>
      <c r="F14" s="246"/>
      <c r="G14" s="246"/>
      <c r="H14" s="246"/>
      <c r="I14" s="247"/>
      <c r="J14" s="247"/>
      <c r="K14" s="247"/>
      <c r="L14" s="247"/>
      <c r="M14" s="247"/>
      <c r="N14" s="246"/>
      <c r="O14" s="247"/>
      <c r="P14" s="247"/>
      <c r="Q14" s="247"/>
      <c r="R14" s="247"/>
      <c r="S14" s="247"/>
      <c r="T14" s="321"/>
      <c r="U14" s="246"/>
      <c r="V14" s="246"/>
      <c r="W14" s="246"/>
      <c r="X14" s="246"/>
      <c r="Y14" s="246"/>
      <c r="Z14" s="246"/>
      <c r="AA14" s="246"/>
      <c r="AB14" s="246"/>
      <c r="AC14" s="247"/>
      <c r="AD14" s="247"/>
      <c r="AE14" s="247"/>
      <c r="AF14" s="247"/>
      <c r="AG14" s="247"/>
      <c r="AH14" s="246"/>
      <c r="AI14" s="246"/>
      <c r="AJ14" s="246"/>
      <c r="AK14" s="246"/>
      <c r="AL14" s="247"/>
      <c r="AM14" s="247"/>
      <c r="AN14" s="247"/>
      <c r="AO14" s="247"/>
      <c r="AP14" s="247"/>
    </row>
    <row r="15" spans="1:42" ht="13.5">
      <c r="A15" s="232"/>
      <c r="B15" s="247"/>
      <c r="C15" s="246"/>
      <c r="D15" s="246"/>
      <c r="E15" s="246"/>
      <c r="F15" s="246"/>
      <c r="G15" s="246"/>
      <c r="H15" s="246"/>
      <c r="I15" s="247"/>
      <c r="J15" s="247"/>
      <c r="K15" s="247"/>
      <c r="L15" s="247"/>
      <c r="M15" s="247"/>
      <c r="N15" s="246"/>
      <c r="O15" s="247"/>
      <c r="P15" s="247"/>
      <c r="Q15" s="247"/>
      <c r="R15" s="247"/>
      <c r="S15" s="247"/>
      <c r="T15" s="321"/>
      <c r="U15" s="246"/>
      <c r="V15" s="246"/>
      <c r="W15" s="246"/>
      <c r="X15" s="246"/>
      <c r="Y15" s="246"/>
      <c r="Z15" s="246"/>
      <c r="AA15" s="246"/>
      <c r="AB15" s="246"/>
      <c r="AC15" s="247"/>
      <c r="AD15" s="247"/>
      <c r="AE15" s="247"/>
      <c r="AF15" s="247"/>
      <c r="AG15" s="247"/>
      <c r="AH15" s="246"/>
      <c r="AI15" s="246"/>
      <c r="AJ15" s="246"/>
      <c r="AK15" s="246"/>
      <c r="AL15" s="247"/>
      <c r="AM15" s="247"/>
      <c r="AN15" s="247"/>
      <c r="AO15" s="247"/>
      <c r="AP15" s="247"/>
    </row>
    <row r="16" spans="1:42" ht="40.5">
      <c r="A16" s="244" t="s">
        <v>3</v>
      </c>
      <c r="B16" s="245" t="s">
        <v>431</v>
      </c>
      <c r="C16" s="246"/>
      <c r="D16" s="246"/>
      <c r="E16" s="246"/>
      <c r="F16" s="246"/>
      <c r="G16" s="246"/>
      <c r="H16" s="246"/>
      <c r="I16" s="245"/>
      <c r="J16" s="245"/>
      <c r="K16" s="245"/>
      <c r="L16" s="245"/>
      <c r="M16" s="245"/>
      <c r="N16" s="246"/>
      <c r="O16" s="245"/>
      <c r="P16" s="245"/>
      <c r="Q16" s="245"/>
      <c r="R16" s="245"/>
      <c r="S16" s="245"/>
      <c r="T16" s="321"/>
      <c r="U16" s="246"/>
      <c r="V16" s="246"/>
      <c r="W16" s="246"/>
      <c r="X16" s="246"/>
      <c r="Y16" s="246"/>
      <c r="Z16" s="246"/>
      <c r="AA16" s="246"/>
      <c r="AB16" s="246"/>
      <c r="AC16" s="245"/>
      <c r="AD16" s="245"/>
      <c r="AE16" s="245"/>
      <c r="AF16" s="245"/>
      <c r="AG16" s="245"/>
      <c r="AH16" s="246"/>
      <c r="AI16" s="246"/>
      <c r="AJ16" s="246"/>
      <c r="AK16" s="246"/>
      <c r="AL16" s="245"/>
      <c r="AM16" s="245"/>
      <c r="AN16" s="245"/>
      <c r="AO16" s="245"/>
      <c r="AP16" s="245"/>
    </row>
    <row r="17" spans="1:42" ht="13.5">
      <c r="A17" s="232"/>
      <c r="B17" s="207" t="s">
        <v>123</v>
      </c>
      <c r="C17" s="246"/>
      <c r="D17" s="246"/>
      <c r="E17" s="246"/>
      <c r="F17" s="246"/>
      <c r="G17" s="246"/>
      <c r="H17" s="246"/>
      <c r="I17" s="207"/>
      <c r="J17" s="207"/>
      <c r="K17" s="207"/>
      <c r="L17" s="207"/>
      <c r="M17" s="207"/>
      <c r="N17" s="246"/>
      <c r="O17" s="207"/>
      <c r="P17" s="207"/>
      <c r="Q17" s="207"/>
      <c r="R17" s="207"/>
      <c r="S17" s="207"/>
      <c r="T17" s="321"/>
      <c r="U17" s="246"/>
      <c r="V17" s="246"/>
      <c r="W17" s="246"/>
      <c r="X17" s="246"/>
      <c r="Y17" s="246"/>
      <c r="Z17" s="246"/>
      <c r="AA17" s="246"/>
      <c r="AB17" s="246"/>
      <c r="AC17" s="207"/>
      <c r="AD17" s="207"/>
      <c r="AE17" s="207"/>
      <c r="AF17" s="207"/>
      <c r="AG17" s="207"/>
      <c r="AH17" s="246"/>
      <c r="AI17" s="246"/>
      <c r="AJ17" s="246"/>
      <c r="AK17" s="246"/>
      <c r="AL17" s="207"/>
      <c r="AM17" s="207"/>
      <c r="AN17" s="207"/>
      <c r="AO17" s="207"/>
      <c r="AP17" s="207"/>
    </row>
    <row r="18" spans="1:42" ht="13.5">
      <c r="A18" s="232">
        <v>1</v>
      </c>
      <c r="B18" s="250"/>
      <c r="C18" s="232"/>
      <c r="D18" s="246" t="s">
        <v>1</v>
      </c>
      <c r="E18" s="246"/>
      <c r="F18" s="246"/>
      <c r="G18" s="246" t="s">
        <v>1</v>
      </c>
      <c r="H18" s="246"/>
      <c r="I18" s="104"/>
      <c r="J18" s="232"/>
      <c r="K18" s="232"/>
      <c r="L18" s="232"/>
      <c r="M18" s="246">
        <f>J18+K18+L18</f>
        <v>0</v>
      </c>
      <c r="N18" s="246"/>
      <c r="O18" s="104"/>
      <c r="P18" s="232"/>
      <c r="Q18" s="232"/>
      <c r="R18" s="232"/>
      <c r="S18" s="246">
        <f>P18+Q18+R18</f>
        <v>0</v>
      </c>
      <c r="T18" s="321">
        <f t="shared" si="0"/>
        <v>0</v>
      </c>
      <c r="U18" s="246">
        <f t="shared" si="1"/>
        <v>0</v>
      </c>
      <c r="V18" s="246">
        <f t="shared" si="2"/>
        <v>0</v>
      </c>
      <c r="W18" s="246">
        <f t="shared" si="3"/>
        <v>0</v>
      </c>
      <c r="X18" s="246">
        <f t="shared" si="4"/>
        <v>0</v>
      </c>
      <c r="Y18" s="246"/>
      <c r="Z18" s="246"/>
      <c r="AA18" s="246" t="s">
        <v>1</v>
      </c>
      <c r="AB18" s="246"/>
      <c r="AC18" s="104"/>
      <c r="AD18" s="232"/>
      <c r="AE18" s="232"/>
      <c r="AF18" s="232"/>
      <c r="AG18" s="246">
        <f>AD18+AE18+AF18</f>
        <v>0</v>
      </c>
      <c r="AH18" s="246"/>
      <c r="AI18" s="246"/>
      <c r="AJ18" s="246" t="s">
        <v>1</v>
      </c>
      <c r="AK18" s="246"/>
      <c r="AL18" s="104"/>
      <c r="AM18" s="232"/>
      <c r="AN18" s="232"/>
      <c r="AO18" s="232"/>
      <c r="AP18" s="246">
        <f>AM18+AN18+AO18</f>
        <v>0</v>
      </c>
    </row>
    <row r="19" spans="1:42" ht="13.5">
      <c r="A19" s="232">
        <v>2</v>
      </c>
      <c r="B19" s="250"/>
      <c r="C19" s="232"/>
      <c r="D19" s="246" t="s">
        <v>1</v>
      </c>
      <c r="E19" s="246"/>
      <c r="F19" s="246"/>
      <c r="G19" s="246" t="s">
        <v>1</v>
      </c>
      <c r="H19" s="246"/>
      <c r="I19" s="104"/>
      <c r="J19" s="232"/>
      <c r="K19" s="232"/>
      <c r="L19" s="232"/>
      <c r="M19" s="246">
        <f>J19+K19+L19</f>
        <v>0</v>
      </c>
      <c r="N19" s="246"/>
      <c r="O19" s="104"/>
      <c r="P19" s="232"/>
      <c r="Q19" s="232"/>
      <c r="R19" s="232"/>
      <c r="S19" s="246">
        <f>P19+Q19+R19</f>
        <v>0</v>
      </c>
      <c r="T19" s="321">
        <f t="shared" si="0"/>
        <v>0</v>
      </c>
      <c r="U19" s="246">
        <f t="shared" si="1"/>
        <v>0</v>
      </c>
      <c r="V19" s="246">
        <f t="shared" si="2"/>
        <v>0</v>
      </c>
      <c r="W19" s="246">
        <f t="shared" si="3"/>
        <v>0</v>
      </c>
      <c r="X19" s="246">
        <f t="shared" si="4"/>
        <v>0</v>
      </c>
      <c r="Y19" s="246"/>
      <c r="Z19" s="246"/>
      <c r="AA19" s="246" t="s">
        <v>1</v>
      </c>
      <c r="AB19" s="246"/>
      <c r="AC19" s="104"/>
      <c r="AD19" s="232"/>
      <c r="AE19" s="232"/>
      <c r="AF19" s="232"/>
      <c r="AG19" s="246">
        <f>AD19+AE19+AF19</f>
        <v>0</v>
      </c>
      <c r="AH19" s="246"/>
      <c r="AI19" s="246"/>
      <c r="AJ19" s="246" t="s">
        <v>1</v>
      </c>
      <c r="AK19" s="246"/>
      <c r="AL19" s="104"/>
      <c r="AM19" s="232"/>
      <c r="AN19" s="232"/>
      <c r="AO19" s="232"/>
      <c r="AP19" s="246">
        <f>AM19+AN19+AO19</f>
        <v>0</v>
      </c>
    </row>
    <row r="20" spans="1:42" ht="13.5">
      <c r="A20" s="232">
        <v>3</v>
      </c>
      <c r="B20" s="250"/>
      <c r="C20" s="232"/>
      <c r="D20" s="246" t="s">
        <v>1</v>
      </c>
      <c r="E20" s="246"/>
      <c r="F20" s="246"/>
      <c r="G20" s="246" t="s">
        <v>1</v>
      </c>
      <c r="H20" s="246"/>
      <c r="I20" s="104"/>
      <c r="J20" s="232"/>
      <c r="K20" s="232"/>
      <c r="L20" s="232"/>
      <c r="M20" s="246">
        <f>J20+K20+L20</f>
        <v>0</v>
      </c>
      <c r="N20" s="246"/>
      <c r="O20" s="104"/>
      <c r="P20" s="232"/>
      <c r="Q20" s="232"/>
      <c r="R20" s="232"/>
      <c r="S20" s="246">
        <f>P20+Q20+R20</f>
        <v>0</v>
      </c>
      <c r="T20" s="321">
        <f t="shared" si="0"/>
        <v>0</v>
      </c>
      <c r="U20" s="246">
        <f t="shared" si="1"/>
        <v>0</v>
      </c>
      <c r="V20" s="246">
        <f t="shared" si="2"/>
        <v>0</v>
      </c>
      <c r="W20" s="246">
        <f t="shared" si="3"/>
        <v>0</v>
      </c>
      <c r="X20" s="246">
        <f t="shared" si="4"/>
        <v>0</v>
      </c>
      <c r="Y20" s="246"/>
      <c r="Z20" s="246"/>
      <c r="AA20" s="246" t="s">
        <v>1</v>
      </c>
      <c r="AB20" s="246"/>
      <c r="AC20" s="104"/>
      <c r="AD20" s="232"/>
      <c r="AE20" s="232"/>
      <c r="AF20" s="232"/>
      <c r="AG20" s="246">
        <f>AD20+AE20+AF20</f>
        <v>0</v>
      </c>
      <c r="AH20" s="246"/>
      <c r="AI20" s="246"/>
      <c r="AJ20" s="246" t="s">
        <v>1</v>
      </c>
      <c r="AK20" s="246"/>
      <c r="AL20" s="104"/>
      <c r="AM20" s="232"/>
      <c r="AN20" s="232"/>
      <c r="AO20" s="232"/>
      <c r="AP20" s="246">
        <f>AM20+AN20+AO20</f>
        <v>0</v>
      </c>
    </row>
    <row r="21" spans="1:42" ht="13.5">
      <c r="A21" s="232"/>
      <c r="B21" s="104"/>
      <c r="C21" s="232"/>
      <c r="D21" s="246"/>
      <c r="E21" s="246"/>
      <c r="F21" s="246"/>
      <c r="G21" s="246"/>
      <c r="H21" s="246"/>
      <c r="I21" s="104"/>
      <c r="J21" s="104"/>
      <c r="K21" s="104"/>
      <c r="L21" s="104"/>
      <c r="M21" s="104"/>
      <c r="N21" s="246"/>
      <c r="O21" s="104"/>
      <c r="P21" s="104"/>
      <c r="Q21" s="104"/>
      <c r="R21" s="104"/>
      <c r="S21" s="104"/>
      <c r="T21" s="321">
        <f t="shared" si="0"/>
        <v>0</v>
      </c>
      <c r="U21" s="246">
        <f t="shared" si="1"/>
        <v>0</v>
      </c>
      <c r="V21" s="246">
        <f t="shared" si="2"/>
        <v>0</v>
      </c>
      <c r="W21" s="246">
        <f t="shared" si="3"/>
        <v>0</v>
      </c>
      <c r="X21" s="246">
        <f t="shared" si="4"/>
        <v>0</v>
      </c>
      <c r="Y21" s="246"/>
      <c r="Z21" s="246"/>
      <c r="AA21" s="246"/>
      <c r="AB21" s="246"/>
      <c r="AC21" s="104"/>
      <c r="AD21" s="104"/>
      <c r="AE21" s="104"/>
      <c r="AF21" s="104"/>
      <c r="AG21" s="104"/>
      <c r="AH21" s="246"/>
      <c r="AI21" s="246"/>
      <c r="AJ21" s="246"/>
      <c r="AK21" s="246"/>
      <c r="AL21" s="104"/>
      <c r="AM21" s="104"/>
      <c r="AN21" s="104"/>
      <c r="AO21" s="104"/>
      <c r="AP21" s="104"/>
    </row>
    <row r="22" spans="1:42" s="249" customFormat="1" ht="14.25">
      <c r="A22" s="244"/>
      <c r="B22" s="247" t="s">
        <v>110</v>
      </c>
      <c r="C22" s="248" t="s">
        <v>1</v>
      </c>
      <c r="D22" s="248" t="s">
        <v>1</v>
      </c>
      <c r="E22" s="248" t="s">
        <v>1</v>
      </c>
      <c r="F22" s="248" t="s">
        <v>1</v>
      </c>
      <c r="G22" s="248" t="s">
        <v>1</v>
      </c>
      <c r="H22" s="248" t="s">
        <v>1</v>
      </c>
      <c r="I22" s="248">
        <f>SUM(I18:I20)</f>
        <v>0</v>
      </c>
      <c r="J22" s="248">
        <f>SUM(J18:J20)</f>
        <v>0</v>
      </c>
      <c r="K22" s="248">
        <f>SUM(K18:K20)</f>
        <v>0</v>
      </c>
      <c r="L22" s="248">
        <f>SUM(L18:L20)</f>
        <v>0</v>
      </c>
      <c r="M22" s="248">
        <f>SUM(M18:M20)</f>
        <v>0</v>
      </c>
      <c r="N22" s="248" t="s">
        <v>1</v>
      </c>
      <c r="O22" s="248">
        <f aca="true" t="shared" si="6" ref="O22:X22">SUM(O18:O20)</f>
        <v>0</v>
      </c>
      <c r="P22" s="248">
        <f t="shared" si="6"/>
        <v>0</v>
      </c>
      <c r="Q22" s="248">
        <f t="shared" si="6"/>
        <v>0</v>
      </c>
      <c r="R22" s="248">
        <f t="shared" si="6"/>
        <v>0</v>
      </c>
      <c r="S22" s="248">
        <f t="shared" si="6"/>
        <v>0</v>
      </c>
      <c r="T22" s="248">
        <f t="shared" si="6"/>
        <v>0</v>
      </c>
      <c r="U22" s="248">
        <f t="shared" si="6"/>
        <v>0</v>
      </c>
      <c r="V22" s="248">
        <f t="shared" si="6"/>
        <v>0</v>
      </c>
      <c r="W22" s="248">
        <f t="shared" si="6"/>
        <v>0</v>
      </c>
      <c r="X22" s="248">
        <f t="shared" si="6"/>
        <v>0</v>
      </c>
      <c r="Y22" s="248" t="s">
        <v>1</v>
      </c>
      <c r="Z22" s="248" t="s">
        <v>1</v>
      </c>
      <c r="AA22" s="248" t="s">
        <v>1</v>
      </c>
      <c r="AB22" s="248" t="s">
        <v>1</v>
      </c>
      <c r="AC22" s="248">
        <f>SUM(AC18:AC20)</f>
        <v>0</v>
      </c>
      <c r="AD22" s="248">
        <f>SUM(AD18:AD20)</f>
        <v>0</v>
      </c>
      <c r="AE22" s="248">
        <f>SUM(AE18:AE20)</f>
        <v>0</v>
      </c>
      <c r="AF22" s="248">
        <f>SUM(AF18:AF20)</f>
        <v>0</v>
      </c>
      <c r="AG22" s="248">
        <f>SUM(AG18:AG20)</f>
        <v>0</v>
      </c>
      <c r="AH22" s="248" t="s">
        <v>1</v>
      </c>
      <c r="AI22" s="248" t="s">
        <v>1</v>
      </c>
      <c r="AJ22" s="248" t="s">
        <v>1</v>
      </c>
      <c r="AK22" s="248" t="s">
        <v>1</v>
      </c>
      <c r="AL22" s="248">
        <f>SUM(AL18:AL20)</f>
        <v>0</v>
      </c>
      <c r="AM22" s="248">
        <f>SUM(AM18:AM20)</f>
        <v>0</v>
      </c>
      <c r="AN22" s="248">
        <f>SUM(AN18:AN20)</f>
        <v>0</v>
      </c>
      <c r="AO22" s="248">
        <f>SUM(AO18:AO20)</f>
        <v>0</v>
      </c>
      <c r="AP22" s="248">
        <f>SUM(AP18:AP20)</f>
        <v>0</v>
      </c>
    </row>
    <row r="23" spans="1:42" ht="13.5">
      <c r="A23" s="232"/>
      <c r="B23" s="245"/>
      <c r="C23" s="246"/>
      <c r="D23" s="246"/>
      <c r="E23" s="246"/>
      <c r="F23" s="246"/>
      <c r="G23" s="246"/>
      <c r="H23" s="246"/>
      <c r="I23" s="245"/>
      <c r="J23" s="245"/>
      <c r="K23" s="245"/>
      <c r="L23" s="245"/>
      <c r="M23" s="245"/>
      <c r="N23" s="246"/>
      <c r="O23" s="245"/>
      <c r="P23" s="245"/>
      <c r="Q23" s="245"/>
      <c r="R23" s="245"/>
      <c r="S23" s="245"/>
      <c r="T23" s="321"/>
      <c r="U23" s="246"/>
      <c r="V23" s="246"/>
      <c r="W23" s="246"/>
      <c r="X23" s="246"/>
      <c r="Y23" s="246"/>
      <c r="Z23" s="246"/>
      <c r="AA23" s="246"/>
      <c r="AB23" s="246"/>
      <c r="AC23" s="245"/>
      <c r="AD23" s="245"/>
      <c r="AE23" s="245"/>
      <c r="AF23" s="245"/>
      <c r="AG23" s="245"/>
      <c r="AH23" s="246"/>
      <c r="AI23" s="246"/>
      <c r="AJ23" s="246"/>
      <c r="AK23" s="246"/>
      <c r="AL23" s="245"/>
      <c r="AM23" s="245"/>
      <c r="AN23" s="245"/>
      <c r="AO23" s="245"/>
      <c r="AP23" s="245"/>
    </row>
    <row r="24" spans="1:42" ht="27">
      <c r="A24" s="244" t="s">
        <v>2</v>
      </c>
      <c r="B24" s="245" t="s">
        <v>235</v>
      </c>
      <c r="C24" s="246"/>
      <c r="D24" s="246"/>
      <c r="E24" s="246"/>
      <c r="F24" s="246"/>
      <c r="G24" s="246"/>
      <c r="H24" s="246"/>
      <c r="I24" s="245"/>
      <c r="J24" s="245"/>
      <c r="K24" s="245"/>
      <c r="L24" s="245"/>
      <c r="M24" s="245"/>
      <c r="N24" s="246"/>
      <c r="O24" s="245"/>
      <c r="P24" s="245"/>
      <c r="Q24" s="245"/>
      <c r="R24" s="245"/>
      <c r="S24" s="245"/>
      <c r="T24" s="321"/>
      <c r="U24" s="246"/>
      <c r="V24" s="246"/>
      <c r="W24" s="246"/>
      <c r="X24" s="246"/>
      <c r="Y24" s="246"/>
      <c r="Z24" s="246"/>
      <c r="AA24" s="246"/>
      <c r="AB24" s="246"/>
      <c r="AC24" s="245"/>
      <c r="AD24" s="245"/>
      <c r="AE24" s="245"/>
      <c r="AF24" s="245"/>
      <c r="AG24" s="245"/>
      <c r="AH24" s="246"/>
      <c r="AI24" s="246"/>
      <c r="AJ24" s="246"/>
      <c r="AK24" s="246"/>
      <c r="AL24" s="245"/>
      <c r="AM24" s="245"/>
      <c r="AN24" s="245"/>
      <c r="AO24" s="245"/>
      <c r="AP24" s="245"/>
    </row>
    <row r="25" spans="1:42" ht="13.5">
      <c r="A25" s="232"/>
      <c r="B25" s="207" t="s">
        <v>123</v>
      </c>
      <c r="C25" s="246"/>
      <c r="D25" s="246"/>
      <c r="E25" s="246"/>
      <c r="F25" s="246"/>
      <c r="G25" s="246"/>
      <c r="H25" s="246"/>
      <c r="I25" s="207"/>
      <c r="J25" s="207"/>
      <c r="K25" s="207"/>
      <c r="L25" s="207"/>
      <c r="M25" s="207"/>
      <c r="N25" s="246"/>
      <c r="O25" s="207"/>
      <c r="P25" s="207"/>
      <c r="Q25" s="207"/>
      <c r="R25" s="207"/>
      <c r="S25" s="207"/>
      <c r="T25" s="321"/>
      <c r="U25" s="246"/>
      <c r="V25" s="246"/>
      <c r="W25" s="246"/>
      <c r="X25" s="246"/>
      <c r="Y25" s="246"/>
      <c r="Z25" s="246"/>
      <c r="AA25" s="246"/>
      <c r="AB25" s="246"/>
      <c r="AC25" s="207"/>
      <c r="AD25" s="207"/>
      <c r="AE25" s="207"/>
      <c r="AF25" s="207"/>
      <c r="AG25" s="207"/>
      <c r="AH25" s="246"/>
      <c r="AI25" s="246"/>
      <c r="AJ25" s="246"/>
      <c r="AK25" s="246"/>
      <c r="AL25" s="207"/>
      <c r="AM25" s="207"/>
      <c r="AN25" s="207"/>
      <c r="AO25" s="207"/>
      <c r="AP25" s="207"/>
    </row>
    <row r="26" spans="1:42" ht="13.5">
      <c r="A26" s="232"/>
      <c r="B26" s="207" t="s">
        <v>226</v>
      </c>
      <c r="C26" s="246"/>
      <c r="D26" s="246"/>
      <c r="E26" s="246"/>
      <c r="F26" s="246"/>
      <c r="G26" s="246"/>
      <c r="H26" s="246"/>
      <c r="I26" s="207"/>
      <c r="J26" s="207"/>
      <c r="K26" s="207"/>
      <c r="L26" s="207"/>
      <c r="M26" s="207"/>
      <c r="N26" s="246"/>
      <c r="O26" s="207"/>
      <c r="P26" s="207"/>
      <c r="Q26" s="207"/>
      <c r="R26" s="207"/>
      <c r="S26" s="207"/>
      <c r="T26" s="321"/>
      <c r="U26" s="246"/>
      <c r="V26" s="246"/>
      <c r="W26" s="246"/>
      <c r="X26" s="246"/>
      <c r="Y26" s="246"/>
      <c r="Z26" s="246"/>
      <c r="AA26" s="246"/>
      <c r="AB26" s="246"/>
      <c r="AC26" s="207"/>
      <c r="AD26" s="207"/>
      <c r="AE26" s="207"/>
      <c r="AF26" s="207"/>
      <c r="AG26" s="207"/>
      <c r="AH26" s="246"/>
      <c r="AI26" s="246"/>
      <c r="AJ26" s="246"/>
      <c r="AK26" s="246"/>
      <c r="AL26" s="207"/>
      <c r="AM26" s="207"/>
      <c r="AN26" s="207"/>
      <c r="AO26" s="207"/>
      <c r="AP26" s="207"/>
    </row>
    <row r="27" spans="1:42" ht="13.5">
      <c r="A27" s="232"/>
      <c r="B27" s="207" t="s">
        <v>227</v>
      </c>
      <c r="C27" s="246"/>
      <c r="D27" s="246"/>
      <c r="E27" s="246"/>
      <c r="F27" s="246"/>
      <c r="G27" s="246"/>
      <c r="H27" s="246"/>
      <c r="I27" s="207"/>
      <c r="J27" s="207"/>
      <c r="K27" s="207"/>
      <c r="L27" s="207"/>
      <c r="M27" s="207"/>
      <c r="N27" s="246"/>
      <c r="O27" s="207"/>
      <c r="P27" s="207"/>
      <c r="Q27" s="207"/>
      <c r="R27" s="207"/>
      <c r="S27" s="207"/>
      <c r="T27" s="321"/>
      <c r="U27" s="246"/>
      <c r="V27" s="246"/>
      <c r="W27" s="246"/>
      <c r="X27" s="246"/>
      <c r="Y27" s="246"/>
      <c r="Z27" s="246"/>
      <c r="AA27" s="246"/>
      <c r="AB27" s="246"/>
      <c r="AC27" s="207"/>
      <c r="AD27" s="207"/>
      <c r="AE27" s="207"/>
      <c r="AF27" s="207"/>
      <c r="AG27" s="207"/>
      <c r="AH27" s="246"/>
      <c r="AI27" s="246"/>
      <c r="AJ27" s="246"/>
      <c r="AK27" s="246"/>
      <c r="AL27" s="207"/>
      <c r="AM27" s="207"/>
      <c r="AN27" s="207"/>
      <c r="AO27" s="207"/>
      <c r="AP27" s="207"/>
    </row>
    <row r="28" spans="1:42" ht="13.5">
      <c r="A28" s="232">
        <v>1</v>
      </c>
      <c r="B28" s="104"/>
      <c r="C28" s="232"/>
      <c r="D28" s="246"/>
      <c r="E28" s="246"/>
      <c r="F28" s="246"/>
      <c r="G28" s="246"/>
      <c r="H28" s="246"/>
      <c r="I28" s="104"/>
      <c r="J28" s="232"/>
      <c r="K28" s="232"/>
      <c r="L28" s="232"/>
      <c r="M28" s="246">
        <f>J28+K28+L28</f>
        <v>0</v>
      </c>
      <c r="N28" s="246"/>
      <c r="O28" s="104"/>
      <c r="P28" s="232"/>
      <c r="Q28" s="232"/>
      <c r="R28" s="232"/>
      <c r="S28" s="246">
        <f>P28+Q28+R28</f>
        <v>0</v>
      </c>
      <c r="T28" s="321">
        <f t="shared" si="0"/>
        <v>0</v>
      </c>
      <c r="U28" s="246">
        <f t="shared" si="1"/>
        <v>0</v>
      </c>
      <c r="V28" s="246">
        <f t="shared" si="2"/>
        <v>0</v>
      </c>
      <c r="W28" s="246">
        <f t="shared" si="3"/>
        <v>0</v>
      </c>
      <c r="X28" s="246">
        <f t="shared" si="4"/>
        <v>0</v>
      </c>
      <c r="Y28" s="246"/>
      <c r="Z28" s="246"/>
      <c r="AA28" s="246"/>
      <c r="AB28" s="246"/>
      <c r="AC28" s="104"/>
      <c r="AD28" s="232"/>
      <c r="AE28" s="232"/>
      <c r="AF28" s="232"/>
      <c r="AG28" s="246">
        <f>AD28+AE28+AF28</f>
        <v>0</v>
      </c>
      <c r="AH28" s="246"/>
      <c r="AI28" s="246"/>
      <c r="AJ28" s="246"/>
      <c r="AK28" s="246"/>
      <c r="AL28" s="104"/>
      <c r="AM28" s="232"/>
      <c r="AN28" s="232"/>
      <c r="AO28" s="232"/>
      <c r="AP28" s="246">
        <f>AM28+AN28+AO28</f>
        <v>0</v>
      </c>
    </row>
    <row r="29" spans="1:42" ht="13.5">
      <c r="A29" s="232">
        <v>2</v>
      </c>
      <c r="B29" s="104"/>
      <c r="C29" s="232"/>
      <c r="D29" s="246"/>
      <c r="E29" s="246"/>
      <c r="F29" s="246"/>
      <c r="G29" s="246"/>
      <c r="H29" s="246"/>
      <c r="I29" s="104"/>
      <c r="J29" s="232"/>
      <c r="K29" s="232"/>
      <c r="L29" s="232"/>
      <c r="M29" s="246">
        <f>J29+K29+L29</f>
        <v>0</v>
      </c>
      <c r="N29" s="246"/>
      <c r="O29" s="104"/>
      <c r="P29" s="232"/>
      <c r="Q29" s="232"/>
      <c r="R29" s="232"/>
      <c r="S29" s="246">
        <f>P29+Q29+R29</f>
        <v>0</v>
      </c>
      <c r="T29" s="321">
        <f t="shared" si="0"/>
        <v>0</v>
      </c>
      <c r="U29" s="246">
        <f t="shared" si="1"/>
        <v>0</v>
      </c>
      <c r="V29" s="246">
        <f t="shared" si="2"/>
        <v>0</v>
      </c>
      <c r="W29" s="246">
        <f t="shared" si="3"/>
        <v>0</v>
      </c>
      <c r="X29" s="246">
        <f t="shared" si="4"/>
        <v>0</v>
      </c>
      <c r="Y29" s="246"/>
      <c r="Z29" s="246"/>
      <c r="AA29" s="246"/>
      <c r="AB29" s="246"/>
      <c r="AC29" s="104"/>
      <c r="AD29" s="232"/>
      <c r="AE29" s="232"/>
      <c r="AF29" s="232"/>
      <c r="AG29" s="246">
        <f>AD29+AE29+AF29</f>
        <v>0</v>
      </c>
      <c r="AH29" s="246"/>
      <c r="AI29" s="246"/>
      <c r="AJ29" s="246"/>
      <c r="AK29" s="246"/>
      <c r="AL29" s="104"/>
      <c r="AM29" s="232"/>
      <c r="AN29" s="232"/>
      <c r="AO29" s="232"/>
      <c r="AP29" s="246">
        <f>AM29+AN29+AO29</f>
        <v>0</v>
      </c>
    </row>
    <row r="30" spans="1:42" ht="13.5">
      <c r="A30" s="232">
        <v>3</v>
      </c>
      <c r="B30" s="247"/>
      <c r="C30" s="232"/>
      <c r="D30" s="246"/>
      <c r="E30" s="246"/>
      <c r="F30" s="246"/>
      <c r="G30" s="246"/>
      <c r="H30" s="246"/>
      <c r="I30" s="104"/>
      <c r="J30" s="232"/>
      <c r="K30" s="232"/>
      <c r="L30" s="232"/>
      <c r="M30" s="246">
        <f>J30+K30+L30</f>
        <v>0</v>
      </c>
      <c r="N30" s="246"/>
      <c r="O30" s="104"/>
      <c r="P30" s="232"/>
      <c r="Q30" s="232"/>
      <c r="R30" s="232"/>
      <c r="S30" s="246">
        <f>P30+Q30+R30</f>
        <v>0</v>
      </c>
      <c r="T30" s="321">
        <f t="shared" si="0"/>
        <v>0</v>
      </c>
      <c r="U30" s="246">
        <f t="shared" si="1"/>
        <v>0</v>
      </c>
      <c r="V30" s="246">
        <f t="shared" si="2"/>
        <v>0</v>
      </c>
      <c r="W30" s="246">
        <f t="shared" si="3"/>
        <v>0</v>
      </c>
      <c r="X30" s="246">
        <f t="shared" si="4"/>
        <v>0</v>
      </c>
      <c r="Y30" s="246"/>
      <c r="Z30" s="246"/>
      <c r="AA30" s="246"/>
      <c r="AB30" s="246"/>
      <c r="AC30" s="104"/>
      <c r="AD30" s="232"/>
      <c r="AE30" s="232"/>
      <c r="AF30" s="232"/>
      <c r="AG30" s="246">
        <f>AD30+AE30+AF30</f>
        <v>0</v>
      </c>
      <c r="AH30" s="246"/>
      <c r="AI30" s="246"/>
      <c r="AJ30" s="246"/>
      <c r="AK30" s="246"/>
      <c r="AL30" s="104"/>
      <c r="AM30" s="232"/>
      <c r="AN30" s="232"/>
      <c r="AO30" s="232"/>
      <c r="AP30" s="246">
        <f>AM30+AN30+AO30</f>
        <v>0</v>
      </c>
    </row>
    <row r="31" spans="1:42" s="249" customFormat="1" ht="27">
      <c r="A31" s="244"/>
      <c r="B31" s="252" t="s">
        <v>228</v>
      </c>
      <c r="C31" s="248" t="s">
        <v>1</v>
      </c>
      <c r="D31" s="248" t="s">
        <v>1</v>
      </c>
      <c r="E31" s="248" t="s">
        <v>1</v>
      </c>
      <c r="F31" s="248" t="s">
        <v>1</v>
      </c>
      <c r="G31" s="248" t="s">
        <v>1</v>
      </c>
      <c r="H31" s="248" t="s">
        <v>1</v>
      </c>
      <c r="I31" s="248">
        <f>SUM(I28:I30)</f>
        <v>0</v>
      </c>
      <c r="J31" s="248">
        <f>SUM(J28:J30)</f>
        <v>0</v>
      </c>
      <c r="K31" s="248">
        <f>SUM(K28:K30)</f>
        <v>0</v>
      </c>
      <c r="L31" s="248">
        <f>SUM(L28:L30)</f>
        <v>0</v>
      </c>
      <c r="M31" s="248">
        <f>SUM(M28:M30)</f>
        <v>0</v>
      </c>
      <c r="N31" s="248" t="s">
        <v>1</v>
      </c>
      <c r="O31" s="248">
        <f>SUM(O28:O30)</f>
        <v>0</v>
      </c>
      <c r="P31" s="248">
        <f>SUM(P28:P30)</f>
        <v>0</v>
      </c>
      <c r="Q31" s="248">
        <f>SUM(Q28:Q30)</f>
        <v>0</v>
      </c>
      <c r="R31" s="248">
        <f>SUM(R28:R30)</f>
        <v>0</v>
      </c>
      <c r="S31" s="248">
        <f aca="true" t="shared" si="7" ref="S31:X31">SUM(S28:S30)</f>
        <v>0</v>
      </c>
      <c r="T31" s="248">
        <f t="shared" si="7"/>
        <v>0</v>
      </c>
      <c r="U31" s="248">
        <f t="shared" si="7"/>
        <v>0</v>
      </c>
      <c r="V31" s="248">
        <f t="shared" si="7"/>
        <v>0</v>
      </c>
      <c r="W31" s="248">
        <f t="shared" si="7"/>
        <v>0</v>
      </c>
      <c r="X31" s="248">
        <f t="shared" si="7"/>
        <v>0</v>
      </c>
      <c r="Y31" s="248" t="s">
        <v>1</v>
      </c>
      <c r="Z31" s="248" t="s">
        <v>1</v>
      </c>
      <c r="AA31" s="248" t="s">
        <v>1</v>
      </c>
      <c r="AB31" s="248" t="s">
        <v>1</v>
      </c>
      <c r="AC31" s="248">
        <f>SUM(AC28:AC30)</f>
        <v>0</v>
      </c>
      <c r="AD31" s="248">
        <f>SUM(AD28:AD30)</f>
        <v>0</v>
      </c>
      <c r="AE31" s="248">
        <f>SUM(AE28:AE30)</f>
        <v>0</v>
      </c>
      <c r="AF31" s="248">
        <f>SUM(AF28:AF30)</f>
        <v>0</v>
      </c>
      <c r="AG31" s="248">
        <f>SUM(AG28:AG30)</f>
        <v>0</v>
      </c>
      <c r="AH31" s="248" t="s">
        <v>1</v>
      </c>
      <c r="AI31" s="248" t="s">
        <v>1</v>
      </c>
      <c r="AJ31" s="248" t="s">
        <v>1</v>
      </c>
      <c r="AK31" s="248" t="s">
        <v>1</v>
      </c>
      <c r="AL31" s="248">
        <f>SUM(AL28:AL30)</f>
        <v>0</v>
      </c>
      <c r="AM31" s="248">
        <f>SUM(AM28:AM30)</f>
        <v>0</v>
      </c>
      <c r="AN31" s="248">
        <f>SUM(AN28:AN30)</f>
        <v>0</v>
      </c>
      <c r="AO31" s="248">
        <f>SUM(AO28:AO30)</f>
        <v>0</v>
      </c>
      <c r="AP31" s="248">
        <f>SUM(AP28:AP30)</f>
        <v>0</v>
      </c>
    </row>
    <row r="32" spans="1:42" ht="13.5">
      <c r="A32" s="232"/>
      <c r="B32" s="207" t="s">
        <v>227</v>
      </c>
      <c r="C32" s="246"/>
      <c r="D32" s="246"/>
      <c r="E32" s="246"/>
      <c r="F32" s="246"/>
      <c r="G32" s="246"/>
      <c r="H32" s="246"/>
      <c r="I32" s="207"/>
      <c r="J32" s="207"/>
      <c r="K32" s="207"/>
      <c r="L32" s="207"/>
      <c r="M32" s="207"/>
      <c r="N32" s="246"/>
      <c r="O32" s="207"/>
      <c r="P32" s="207"/>
      <c r="Q32" s="207"/>
      <c r="R32" s="207"/>
      <c r="S32" s="207"/>
      <c r="T32" s="321"/>
      <c r="U32" s="246"/>
      <c r="V32" s="246"/>
      <c r="W32" s="246"/>
      <c r="X32" s="246"/>
      <c r="Y32" s="246"/>
      <c r="Z32" s="246"/>
      <c r="AA32" s="246"/>
      <c r="AB32" s="246"/>
      <c r="AC32" s="207"/>
      <c r="AD32" s="207"/>
      <c r="AE32" s="207"/>
      <c r="AF32" s="207"/>
      <c r="AG32" s="207"/>
      <c r="AH32" s="246"/>
      <c r="AI32" s="246"/>
      <c r="AJ32" s="246"/>
      <c r="AK32" s="246"/>
      <c r="AL32" s="207"/>
      <c r="AM32" s="207"/>
      <c r="AN32" s="207"/>
      <c r="AO32" s="207"/>
      <c r="AP32" s="207"/>
    </row>
    <row r="33" spans="1:42" ht="13.5">
      <c r="A33" s="232">
        <v>1</v>
      </c>
      <c r="B33" s="104"/>
      <c r="C33" s="232"/>
      <c r="D33" s="246"/>
      <c r="E33" s="246"/>
      <c r="F33" s="246"/>
      <c r="G33" s="246"/>
      <c r="H33" s="246"/>
      <c r="I33" s="104"/>
      <c r="J33" s="232"/>
      <c r="K33" s="232"/>
      <c r="L33" s="232"/>
      <c r="M33" s="246">
        <f>J33+K33+L33</f>
        <v>0</v>
      </c>
      <c r="N33" s="246"/>
      <c r="O33" s="104"/>
      <c r="P33" s="232"/>
      <c r="Q33" s="232"/>
      <c r="R33" s="232"/>
      <c r="S33" s="246">
        <f>P33+Q33+R33</f>
        <v>0</v>
      </c>
      <c r="T33" s="321">
        <f t="shared" si="0"/>
        <v>0</v>
      </c>
      <c r="U33" s="246">
        <f t="shared" si="1"/>
        <v>0</v>
      </c>
      <c r="V33" s="246">
        <f t="shared" si="2"/>
        <v>0</v>
      </c>
      <c r="W33" s="246">
        <f t="shared" si="3"/>
        <v>0</v>
      </c>
      <c r="X33" s="246">
        <f t="shared" si="4"/>
        <v>0</v>
      </c>
      <c r="Y33" s="246"/>
      <c r="Z33" s="246"/>
      <c r="AA33" s="246"/>
      <c r="AB33" s="246"/>
      <c r="AC33" s="104"/>
      <c r="AD33" s="232"/>
      <c r="AE33" s="232"/>
      <c r="AF33" s="232"/>
      <c r="AG33" s="246">
        <f>AD33+AE33+AF33</f>
        <v>0</v>
      </c>
      <c r="AH33" s="246"/>
      <c r="AI33" s="246"/>
      <c r="AJ33" s="246"/>
      <c r="AK33" s="246"/>
      <c r="AL33" s="104"/>
      <c r="AM33" s="232"/>
      <c r="AN33" s="232"/>
      <c r="AO33" s="232"/>
      <c r="AP33" s="246">
        <f>AM33+AN33+AO33</f>
        <v>0</v>
      </c>
    </row>
    <row r="34" spans="1:42" ht="13.5">
      <c r="A34" s="232">
        <v>2</v>
      </c>
      <c r="B34" s="104"/>
      <c r="C34" s="232"/>
      <c r="D34" s="246"/>
      <c r="E34" s="246"/>
      <c r="F34" s="246"/>
      <c r="G34" s="246"/>
      <c r="H34" s="246"/>
      <c r="I34" s="104"/>
      <c r="J34" s="232"/>
      <c r="K34" s="232"/>
      <c r="L34" s="232"/>
      <c r="M34" s="246">
        <f>J34+K34+L34</f>
        <v>0</v>
      </c>
      <c r="N34" s="246"/>
      <c r="O34" s="104"/>
      <c r="P34" s="232"/>
      <c r="Q34" s="232"/>
      <c r="R34" s="232"/>
      <c r="S34" s="246">
        <f>P34+Q34+R34</f>
        <v>0</v>
      </c>
      <c r="T34" s="321">
        <f t="shared" si="0"/>
        <v>0</v>
      </c>
      <c r="U34" s="246">
        <f t="shared" si="1"/>
        <v>0</v>
      </c>
      <c r="V34" s="246">
        <f t="shared" si="2"/>
        <v>0</v>
      </c>
      <c r="W34" s="246">
        <f t="shared" si="3"/>
        <v>0</v>
      </c>
      <c r="X34" s="246">
        <f t="shared" si="4"/>
        <v>0</v>
      </c>
      <c r="Y34" s="246"/>
      <c r="Z34" s="246"/>
      <c r="AA34" s="246"/>
      <c r="AB34" s="246"/>
      <c r="AC34" s="104"/>
      <c r="AD34" s="232"/>
      <c r="AE34" s="232"/>
      <c r="AF34" s="232"/>
      <c r="AG34" s="246">
        <f>AD34+AE34+AF34</f>
        <v>0</v>
      </c>
      <c r="AH34" s="246"/>
      <c r="AI34" s="246"/>
      <c r="AJ34" s="246"/>
      <c r="AK34" s="246"/>
      <c r="AL34" s="104"/>
      <c r="AM34" s="232"/>
      <c r="AN34" s="232"/>
      <c r="AO34" s="232"/>
      <c r="AP34" s="246">
        <f>AM34+AN34+AO34</f>
        <v>0</v>
      </c>
    </row>
    <row r="35" spans="1:42" ht="13.5">
      <c r="A35" s="232">
        <v>3</v>
      </c>
      <c r="B35" s="247"/>
      <c r="C35" s="232"/>
      <c r="D35" s="246"/>
      <c r="E35" s="246"/>
      <c r="F35" s="246"/>
      <c r="G35" s="246"/>
      <c r="H35" s="246"/>
      <c r="I35" s="104"/>
      <c r="J35" s="232"/>
      <c r="K35" s="232"/>
      <c r="L35" s="232"/>
      <c r="M35" s="246">
        <f>J35+K35+L35</f>
        <v>0</v>
      </c>
      <c r="N35" s="246"/>
      <c r="O35" s="104"/>
      <c r="P35" s="232"/>
      <c r="Q35" s="232"/>
      <c r="R35" s="232"/>
      <c r="S35" s="246">
        <f>P35+Q35+R35</f>
        <v>0</v>
      </c>
      <c r="T35" s="321">
        <f t="shared" si="0"/>
        <v>0</v>
      </c>
      <c r="U35" s="246">
        <f t="shared" si="1"/>
        <v>0</v>
      </c>
      <c r="V35" s="246">
        <f t="shared" si="2"/>
        <v>0</v>
      </c>
      <c r="W35" s="246">
        <f t="shared" si="3"/>
        <v>0</v>
      </c>
      <c r="X35" s="246">
        <f t="shared" si="4"/>
        <v>0</v>
      </c>
      <c r="Y35" s="246"/>
      <c r="Z35" s="246"/>
      <c r="AA35" s="246"/>
      <c r="AB35" s="246"/>
      <c r="AC35" s="104"/>
      <c r="AD35" s="232"/>
      <c r="AE35" s="232"/>
      <c r="AF35" s="232"/>
      <c r="AG35" s="246">
        <f>AD35+AE35+AF35</f>
        <v>0</v>
      </c>
      <c r="AH35" s="246"/>
      <c r="AI35" s="246"/>
      <c r="AJ35" s="246"/>
      <c r="AK35" s="246"/>
      <c r="AL35" s="104"/>
      <c r="AM35" s="232"/>
      <c r="AN35" s="232"/>
      <c r="AO35" s="232"/>
      <c r="AP35" s="246">
        <f>AM35+AN35+AO35</f>
        <v>0</v>
      </c>
    </row>
    <row r="36" spans="1:42" s="249" customFormat="1" ht="27">
      <c r="A36" s="244"/>
      <c r="B36" s="252" t="s">
        <v>228</v>
      </c>
      <c r="C36" s="248" t="s">
        <v>1</v>
      </c>
      <c r="D36" s="248" t="s">
        <v>1</v>
      </c>
      <c r="E36" s="248" t="s">
        <v>1</v>
      </c>
      <c r="F36" s="248" t="s">
        <v>1</v>
      </c>
      <c r="G36" s="248" t="s">
        <v>1</v>
      </c>
      <c r="H36" s="248" t="s">
        <v>1</v>
      </c>
      <c r="I36" s="248">
        <f>SUM(I33:I35)</f>
        <v>0</v>
      </c>
      <c r="J36" s="248">
        <f>SUM(J33:J35)</f>
        <v>0</v>
      </c>
      <c r="K36" s="248">
        <f>SUM(K33:K35)</f>
        <v>0</v>
      </c>
      <c r="L36" s="248">
        <f>SUM(L33:L35)</f>
        <v>0</v>
      </c>
      <c r="M36" s="248">
        <f>SUM(M33:M35)</f>
        <v>0</v>
      </c>
      <c r="N36" s="248" t="s">
        <v>1</v>
      </c>
      <c r="O36" s="248">
        <f>SUM(O33:O35)</f>
        <v>0</v>
      </c>
      <c r="P36" s="248">
        <f>SUM(P33:P35)</f>
        <v>0</v>
      </c>
      <c r="Q36" s="248">
        <f>SUM(Q33:Q35)</f>
        <v>0</v>
      </c>
      <c r="R36" s="248">
        <f>SUM(R33:R35)</f>
        <v>0</v>
      </c>
      <c r="S36" s="248">
        <f>SUM(S33:S35)</f>
        <v>0</v>
      </c>
      <c r="T36" s="321">
        <f t="shared" si="0"/>
        <v>0</v>
      </c>
      <c r="U36" s="246">
        <f t="shared" si="1"/>
        <v>0</v>
      </c>
      <c r="V36" s="246">
        <f t="shared" si="2"/>
        <v>0</v>
      </c>
      <c r="W36" s="246">
        <f t="shared" si="3"/>
        <v>0</v>
      </c>
      <c r="X36" s="246">
        <f t="shared" si="4"/>
        <v>0</v>
      </c>
      <c r="Y36" s="248" t="s">
        <v>1</v>
      </c>
      <c r="Z36" s="248" t="s">
        <v>1</v>
      </c>
      <c r="AA36" s="248" t="s">
        <v>1</v>
      </c>
      <c r="AB36" s="248" t="s">
        <v>1</v>
      </c>
      <c r="AC36" s="248">
        <f>SUM(AC33:AC35)</f>
        <v>0</v>
      </c>
      <c r="AD36" s="248">
        <f>SUM(AD33:AD35)</f>
        <v>0</v>
      </c>
      <c r="AE36" s="248">
        <f>SUM(AE33:AE35)</f>
        <v>0</v>
      </c>
      <c r="AF36" s="248">
        <f>SUM(AF33:AF35)</f>
        <v>0</v>
      </c>
      <c r="AG36" s="248">
        <f>SUM(AG33:AG35)</f>
        <v>0</v>
      </c>
      <c r="AH36" s="248" t="s">
        <v>1</v>
      </c>
      <c r="AI36" s="248" t="s">
        <v>1</v>
      </c>
      <c r="AJ36" s="248" t="s">
        <v>1</v>
      </c>
      <c r="AK36" s="248" t="s">
        <v>1</v>
      </c>
      <c r="AL36" s="248">
        <f>SUM(AL33:AL35)</f>
        <v>0</v>
      </c>
      <c r="AM36" s="248">
        <f>SUM(AM33:AM35)</f>
        <v>0</v>
      </c>
      <c r="AN36" s="248">
        <f>SUM(AN33:AN35)</f>
        <v>0</v>
      </c>
      <c r="AO36" s="248">
        <f>SUM(AO33:AO35)</f>
        <v>0</v>
      </c>
      <c r="AP36" s="248">
        <f>SUM(AP33:AP35)</f>
        <v>0</v>
      </c>
    </row>
    <row r="37" spans="1:42" s="249" customFormat="1" ht="27">
      <c r="A37" s="244"/>
      <c r="B37" s="252" t="s">
        <v>236</v>
      </c>
      <c r="C37" s="248" t="s">
        <v>1</v>
      </c>
      <c r="D37" s="248" t="s">
        <v>1</v>
      </c>
      <c r="E37" s="248" t="s">
        <v>1</v>
      </c>
      <c r="F37" s="248" t="s">
        <v>1</v>
      </c>
      <c r="G37" s="248" t="s">
        <v>1</v>
      </c>
      <c r="H37" s="248" t="s">
        <v>1</v>
      </c>
      <c r="I37" s="248">
        <f>I31+I36</f>
        <v>0</v>
      </c>
      <c r="J37" s="248">
        <f>J31+J36</f>
        <v>0</v>
      </c>
      <c r="K37" s="248">
        <f>K31+K36</f>
        <v>0</v>
      </c>
      <c r="L37" s="248">
        <f>L31+L36</f>
        <v>0</v>
      </c>
      <c r="M37" s="248">
        <f>M31+M36</f>
        <v>0</v>
      </c>
      <c r="N37" s="248" t="s">
        <v>1</v>
      </c>
      <c r="O37" s="248">
        <f>O31+O36</f>
        <v>0</v>
      </c>
      <c r="P37" s="248">
        <f>P31+P36</f>
        <v>0</v>
      </c>
      <c r="Q37" s="248">
        <f>Q31+Q36</f>
        <v>0</v>
      </c>
      <c r="R37" s="248">
        <f>R31+R36</f>
        <v>0</v>
      </c>
      <c r="S37" s="248">
        <f>S31+S36</f>
        <v>0</v>
      </c>
      <c r="T37" s="321">
        <f t="shared" si="0"/>
        <v>0</v>
      </c>
      <c r="U37" s="246">
        <f t="shared" si="1"/>
        <v>0</v>
      </c>
      <c r="V37" s="246">
        <f t="shared" si="2"/>
        <v>0</v>
      </c>
      <c r="W37" s="246">
        <f t="shared" si="3"/>
        <v>0</v>
      </c>
      <c r="X37" s="246">
        <f t="shared" si="4"/>
        <v>0</v>
      </c>
      <c r="Y37" s="248" t="s">
        <v>1</v>
      </c>
      <c r="Z37" s="248" t="s">
        <v>1</v>
      </c>
      <c r="AA37" s="248" t="s">
        <v>1</v>
      </c>
      <c r="AB37" s="248" t="s">
        <v>1</v>
      </c>
      <c r="AC37" s="248">
        <f>AC31+AC36</f>
        <v>0</v>
      </c>
      <c r="AD37" s="248">
        <f>AD31+AD36</f>
        <v>0</v>
      </c>
      <c r="AE37" s="248">
        <f>AE31+AE36</f>
        <v>0</v>
      </c>
      <c r="AF37" s="248">
        <f>AF31+AF36</f>
        <v>0</v>
      </c>
      <c r="AG37" s="248">
        <f>AG31+AG36</f>
        <v>0</v>
      </c>
      <c r="AH37" s="248" t="s">
        <v>1</v>
      </c>
      <c r="AI37" s="248" t="s">
        <v>1</v>
      </c>
      <c r="AJ37" s="248" t="s">
        <v>1</v>
      </c>
      <c r="AK37" s="248" t="s">
        <v>1</v>
      </c>
      <c r="AL37" s="248">
        <f>AL31+AL36</f>
        <v>0</v>
      </c>
      <c r="AM37" s="248">
        <f>AM31+AM36</f>
        <v>0</v>
      </c>
      <c r="AN37" s="248">
        <f>AN31+AN36</f>
        <v>0</v>
      </c>
      <c r="AO37" s="248">
        <f>AO31+AO36</f>
        <v>0</v>
      </c>
      <c r="AP37" s="248">
        <f>AP31+AP36</f>
        <v>0</v>
      </c>
    </row>
    <row r="38" spans="1:42" s="249" customFormat="1" ht="14.25">
      <c r="A38" s="244"/>
      <c r="B38" s="252"/>
      <c r="C38" s="248"/>
      <c r="D38" s="248"/>
      <c r="E38" s="248"/>
      <c r="F38" s="248"/>
      <c r="G38" s="248"/>
      <c r="H38" s="248"/>
      <c r="I38" s="248"/>
      <c r="J38" s="248"/>
      <c r="K38" s="248"/>
      <c r="L38" s="248"/>
      <c r="M38" s="248"/>
      <c r="N38" s="248"/>
      <c r="O38" s="248"/>
      <c r="P38" s="248"/>
      <c r="Q38" s="248"/>
      <c r="R38" s="248"/>
      <c r="S38" s="248"/>
      <c r="T38" s="321"/>
      <c r="U38" s="246"/>
      <c r="V38" s="246"/>
      <c r="W38" s="246"/>
      <c r="X38" s="246"/>
      <c r="Y38" s="248"/>
      <c r="Z38" s="248"/>
      <c r="AA38" s="248"/>
      <c r="AB38" s="248"/>
      <c r="AC38" s="248"/>
      <c r="AD38" s="248"/>
      <c r="AE38" s="248"/>
      <c r="AF38" s="248"/>
      <c r="AG38" s="248"/>
      <c r="AH38" s="248"/>
      <c r="AI38" s="248"/>
      <c r="AJ38" s="248"/>
      <c r="AK38" s="248"/>
      <c r="AL38" s="248"/>
      <c r="AM38" s="248"/>
      <c r="AN38" s="248"/>
      <c r="AO38" s="248"/>
      <c r="AP38" s="248"/>
    </row>
    <row r="39" spans="1:42" ht="14.25">
      <c r="A39" s="244" t="s">
        <v>3</v>
      </c>
      <c r="B39" s="245" t="s">
        <v>231</v>
      </c>
      <c r="C39" s="246"/>
      <c r="D39" s="246"/>
      <c r="E39" s="246"/>
      <c r="F39" s="246"/>
      <c r="G39" s="246"/>
      <c r="H39" s="246"/>
      <c r="I39" s="245"/>
      <c r="J39" s="245"/>
      <c r="K39" s="245"/>
      <c r="L39" s="245"/>
      <c r="M39" s="245"/>
      <c r="N39" s="246"/>
      <c r="O39" s="245"/>
      <c r="P39" s="245"/>
      <c r="Q39" s="245"/>
      <c r="R39" s="245"/>
      <c r="S39" s="245"/>
      <c r="T39" s="321"/>
      <c r="U39" s="246"/>
      <c r="V39" s="246"/>
      <c r="W39" s="246"/>
      <c r="X39" s="246"/>
      <c r="Y39" s="246"/>
      <c r="Z39" s="246"/>
      <c r="AA39" s="246"/>
      <c r="AB39" s="246"/>
      <c r="AC39" s="245"/>
      <c r="AD39" s="245"/>
      <c r="AE39" s="245"/>
      <c r="AF39" s="245"/>
      <c r="AG39" s="245"/>
      <c r="AH39" s="246"/>
      <c r="AI39" s="246"/>
      <c r="AJ39" s="246"/>
      <c r="AK39" s="246"/>
      <c r="AL39" s="245"/>
      <c r="AM39" s="245"/>
      <c r="AN39" s="245"/>
      <c r="AO39" s="245"/>
      <c r="AP39" s="245"/>
    </row>
    <row r="40" spans="1:42" ht="13.5">
      <c r="A40" s="232"/>
      <c r="B40" s="207" t="s">
        <v>123</v>
      </c>
      <c r="C40" s="246"/>
      <c r="D40" s="246"/>
      <c r="E40" s="246"/>
      <c r="F40" s="246"/>
      <c r="G40" s="246"/>
      <c r="H40" s="246"/>
      <c r="I40" s="207"/>
      <c r="J40" s="207"/>
      <c r="K40" s="207"/>
      <c r="L40" s="207"/>
      <c r="M40" s="207"/>
      <c r="N40" s="246"/>
      <c r="O40" s="207"/>
      <c r="P40" s="207"/>
      <c r="Q40" s="207"/>
      <c r="R40" s="207"/>
      <c r="S40" s="207"/>
      <c r="T40" s="321"/>
      <c r="U40" s="246"/>
      <c r="V40" s="246"/>
      <c r="W40" s="246"/>
      <c r="X40" s="246"/>
      <c r="Y40" s="246"/>
      <c r="Z40" s="246"/>
      <c r="AA40" s="246"/>
      <c r="AB40" s="246"/>
      <c r="AC40" s="207"/>
      <c r="AD40" s="207"/>
      <c r="AE40" s="207"/>
      <c r="AF40" s="207"/>
      <c r="AG40" s="207"/>
      <c r="AH40" s="246"/>
      <c r="AI40" s="246"/>
      <c r="AJ40" s="246"/>
      <c r="AK40" s="246"/>
      <c r="AL40" s="207"/>
      <c r="AM40" s="207"/>
      <c r="AN40" s="207"/>
      <c r="AO40" s="207"/>
      <c r="AP40" s="207"/>
    </row>
    <row r="41" spans="1:42" ht="13.5">
      <c r="A41" s="232"/>
      <c r="B41" s="207" t="s">
        <v>226</v>
      </c>
      <c r="C41" s="246"/>
      <c r="D41" s="246"/>
      <c r="E41" s="246"/>
      <c r="F41" s="246"/>
      <c r="G41" s="246"/>
      <c r="H41" s="246"/>
      <c r="I41" s="207"/>
      <c r="J41" s="207"/>
      <c r="K41" s="207"/>
      <c r="L41" s="207"/>
      <c r="M41" s="207"/>
      <c r="N41" s="246"/>
      <c r="O41" s="207"/>
      <c r="P41" s="207"/>
      <c r="Q41" s="207"/>
      <c r="R41" s="207"/>
      <c r="S41" s="207"/>
      <c r="T41" s="321"/>
      <c r="U41" s="246"/>
      <c r="V41" s="246"/>
      <c r="W41" s="246"/>
      <c r="X41" s="246"/>
      <c r="Y41" s="246"/>
      <c r="Z41" s="246"/>
      <c r="AA41" s="246"/>
      <c r="AB41" s="246"/>
      <c r="AC41" s="207"/>
      <c r="AD41" s="207"/>
      <c r="AE41" s="207"/>
      <c r="AF41" s="207"/>
      <c r="AG41" s="207"/>
      <c r="AH41" s="246"/>
      <c r="AI41" s="246"/>
      <c r="AJ41" s="246"/>
      <c r="AK41" s="246"/>
      <c r="AL41" s="207"/>
      <c r="AM41" s="207"/>
      <c r="AN41" s="207"/>
      <c r="AO41" s="207"/>
      <c r="AP41" s="207"/>
    </row>
    <row r="42" spans="1:42" ht="13.5">
      <c r="A42" s="232"/>
      <c r="B42" s="207" t="s">
        <v>227</v>
      </c>
      <c r="C42" s="246"/>
      <c r="D42" s="246"/>
      <c r="E42" s="246"/>
      <c r="F42" s="246"/>
      <c r="G42" s="246"/>
      <c r="H42" s="246"/>
      <c r="I42" s="207"/>
      <c r="J42" s="207"/>
      <c r="K42" s="207"/>
      <c r="L42" s="207"/>
      <c r="M42" s="207"/>
      <c r="N42" s="246"/>
      <c r="O42" s="207"/>
      <c r="P42" s="207"/>
      <c r="Q42" s="207"/>
      <c r="R42" s="207"/>
      <c r="S42" s="207"/>
      <c r="T42" s="321"/>
      <c r="U42" s="246"/>
      <c r="V42" s="246"/>
      <c r="W42" s="246"/>
      <c r="X42" s="246"/>
      <c r="Y42" s="246"/>
      <c r="Z42" s="246"/>
      <c r="AA42" s="246"/>
      <c r="AB42" s="246"/>
      <c r="AC42" s="207"/>
      <c r="AD42" s="207"/>
      <c r="AE42" s="207"/>
      <c r="AF42" s="207"/>
      <c r="AG42" s="207"/>
      <c r="AH42" s="246"/>
      <c r="AI42" s="246"/>
      <c r="AJ42" s="246"/>
      <c r="AK42" s="246"/>
      <c r="AL42" s="207"/>
      <c r="AM42" s="207"/>
      <c r="AN42" s="207"/>
      <c r="AO42" s="207"/>
      <c r="AP42" s="207"/>
    </row>
    <row r="43" spans="1:42" ht="13.5">
      <c r="A43" s="232">
        <v>1</v>
      </c>
      <c r="B43" s="104"/>
      <c r="C43" s="232"/>
      <c r="D43" s="246"/>
      <c r="E43" s="246"/>
      <c r="F43" s="246"/>
      <c r="G43" s="246"/>
      <c r="H43" s="246"/>
      <c r="I43" s="104"/>
      <c r="J43" s="232"/>
      <c r="K43" s="232"/>
      <c r="L43" s="232"/>
      <c r="M43" s="246">
        <f>J43+K43+L43</f>
        <v>0</v>
      </c>
      <c r="N43" s="246"/>
      <c r="O43" s="104"/>
      <c r="P43" s="232"/>
      <c r="Q43" s="232"/>
      <c r="R43" s="232"/>
      <c r="S43" s="246">
        <f>P43+Q43+R43</f>
        <v>0</v>
      </c>
      <c r="T43" s="321">
        <f t="shared" si="0"/>
        <v>0</v>
      </c>
      <c r="U43" s="246">
        <f t="shared" si="1"/>
        <v>0</v>
      </c>
      <c r="V43" s="246">
        <f t="shared" si="2"/>
        <v>0</v>
      </c>
      <c r="W43" s="246">
        <f t="shared" si="3"/>
        <v>0</v>
      </c>
      <c r="X43" s="246">
        <f t="shared" si="4"/>
        <v>0</v>
      </c>
      <c r="Y43" s="246"/>
      <c r="Z43" s="246"/>
      <c r="AA43" s="246"/>
      <c r="AB43" s="246"/>
      <c r="AC43" s="104"/>
      <c r="AD43" s="232"/>
      <c r="AE43" s="232"/>
      <c r="AF43" s="232"/>
      <c r="AG43" s="246">
        <f>AD43+AE43+AF43</f>
        <v>0</v>
      </c>
      <c r="AH43" s="246"/>
      <c r="AI43" s="246"/>
      <c r="AJ43" s="246"/>
      <c r="AK43" s="246"/>
      <c r="AL43" s="104"/>
      <c r="AM43" s="232"/>
      <c r="AN43" s="232"/>
      <c r="AO43" s="232"/>
      <c r="AP43" s="246">
        <f>AM43+AN43+AO43</f>
        <v>0</v>
      </c>
    </row>
    <row r="44" spans="1:42" ht="13.5">
      <c r="A44" s="232">
        <v>2</v>
      </c>
      <c r="B44" s="104"/>
      <c r="C44" s="232"/>
      <c r="D44" s="246"/>
      <c r="E44" s="246"/>
      <c r="F44" s="246"/>
      <c r="G44" s="246"/>
      <c r="H44" s="246"/>
      <c r="I44" s="104"/>
      <c r="J44" s="232"/>
      <c r="K44" s="232"/>
      <c r="L44" s="232"/>
      <c r="M44" s="246">
        <f>J44+K44+L44</f>
        <v>0</v>
      </c>
      <c r="N44" s="246"/>
      <c r="O44" s="104"/>
      <c r="P44" s="232"/>
      <c r="Q44" s="232"/>
      <c r="R44" s="232"/>
      <c r="S44" s="246">
        <f>P44+Q44+R44</f>
        <v>0</v>
      </c>
      <c r="T44" s="321">
        <f t="shared" si="0"/>
        <v>0</v>
      </c>
      <c r="U44" s="246">
        <f t="shared" si="1"/>
        <v>0</v>
      </c>
      <c r="V44" s="246">
        <f t="shared" si="2"/>
        <v>0</v>
      </c>
      <c r="W44" s="246">
        <f t="shared" si="3"/>
        <v>0</v>
      </c>
      <c r="X44" s="246">
        <f t="shared" si="4"/>
        <v>0</v>
      </c>
      <c r="Y44" s="246"/>
      <c r="Z44" s="246"/>
      <c r="AA44" s="246"/>
      <c r="AB44" s="246"/>
      <c r="AC44" s="104"/>
      <c r="AD44" s="232"/>
      <c r="AE44" s="232"/>
      <c r="AF44" s="232"/>
      <c r="AG44" s="246">
        <f>AD44+AE44+AF44</f>
        <v>0</v>
      </c>
      <c r="AH44" s="246"/>
      <c r="AI44" s="246"/>
      <c r="AJ44" s="246"/>
      <c r="AK44" s="246"/>
      <c r="AL44" s="104"/>
      <c r="AM44" s="232"/>
      <c r="AN44" s="232"/>
      <c r="AO44" s="232"/>
      <c r="AP44" s="246">
        <f>AM44+AN44+AO44</f>
        <v>0</v>
      </c>
    </row>
    <row r="45" spans="1:42" ht="13.5">
      <c r="A45" s="232">
        <v>3</v>
      </c>
      <c r="B45" s="247"/>
      <c r="C45" s="232"/>
      <c r="D45" s="246"/>
      <c r="E45" s="246"/>
      <c r="F45" s="246"/>
      <c r="G45" s="246"/>
      <c r="H45" s="246"/>
      <c r="I45" s="104"/>
      <c r="J45" s="232"/>
      <c r="K45" s="232"/>
      <c r="L45" s="232"/>
      <c r="M45" s="246">
        <f>J45+K45+L45</f>
        <v>0</v>
      </c>
      <c r="N45" s="246"/>
      <c r="O45" s="104"/>
      <c r="P45" s="232"/>
      <c r="Q45" s="232"/>
      <c r="R45" s="232"/>
      <c r="S45" s="246">
        <f>P45+Q45+R45</f>
        <v>0</v>
      </c>
      <c r="T45" s="321">
        <f t="shared" si="0"/>
        <v>0</v>
      </c>
      <c r="U45" s="246">
        <f t="shared" si="1"/>
        <v>0</v>
      </c>
      <c r="V45" s="246">
        <f t="shared" si="2"/>
        <v>0</v>
      </c>
      <c r="W45" s="246">
        <f t="shared" si="3"/>
        <v>0</v>
      </c>
      <c r="X45" s="246">
        <f t="shared" si="4"/>
        <v>0</v>
      </c>
      <c r="Y45" s="246"/>
      <c r="Z45" s="246"/>
      <c r="AA45" s="246"/>
      <c r="AB45" s="246"/>
      <c r="AC45" s="104"/>
      <c r="AD45" s="232"/>
      <c r="AE45" s="232"/>
      <c r="AF45" s="232"/>
      <c r="AG45" s="246">
        <f>AD45+AE45+AF45</f>
        <v>0</v>
      </c>
      <c r="AH45" s="246"/>
      <c r="AI45" s="246"/>
      <c r="AJ45" s="246"/>
      <c r="AK45" s="246"/>
      <c r="AL45" s="104"/>
      <c r="AM45" s="232"/>
      <c r="AN45" s="232"/>
      <c r="AO45" s="232"/>
      <c r="AP45" s="246">
        <f>AM45+AN45+AO45</f>
        <v>0</v>
      </c>
    </row>
    <row r="46" spans="1:42" s="249" customFormat="1" ht="27">
      <c r="A46" s="244"/>
      <c r="B46" s="252" t="s">
        <v>228</v>
      </c>
      <c r="C46" s="248" t="s">
        <v>1</v>
      </c>
      <c r="D46" s="248" t="s">
        <v>1</v>
      </c>
      <c r="E46" s="248" t="s">
        <v>1</v>
      </c>
      <c r="F46" s="248" t="s">
        <v>1</v>
      </c>
      <c r="G46" s="248" t="s">
        <v>1</v>
      </c>
      <c r="H46" s="248" t="s">
        <v>1</v>
      </c>
      <c r="I46" s="248">
        <f>SUM(I43:I45)</f>
        <v>0</v>
      </c>
      <c r="J46" s="248">
        <f>SUM(J43:J45)</f>
        <v>0</v>
      </c>
      <c r="K46" s="248">
        <f>SUM(K43:K45)</f>
        <v>0</v>
      </c>
      <c r="L46" s="248">
        <f>SUM(L43:L45)</f>
        <v>0</v>
      </c>
      <c r="M46" s="248">
        <f>SUM(M43:M45)</f>
        <v>0</v>
      </c>
      <c r="N46" s="248" t="s">
        <v>1</v>
      </c>
      <c r="O46" s="248">
        <f>SUM(O43:O45)</f>
        <v>0</v>
      </c>
      <c r="P46" s="248">
        <f>SUM(P43:P45)</f>
        <v>0</v>
      </c>
      <c r="Q46" s="248">
        <f>SUM(Q43:Q45)</f>
        <v>0</v>
      </c>
      <c r="R46" s="248">
        <f>SUM(R43:R45)</f>
        <v>0</v>
      </c>
      <c r="S46" s="248">
        <f>SUM(S43:S45)</f>
        <v>0</v>
      </c>
      <c r="T46" s="362">
        <f t="shared" si="0"/>
        <v>0</v>
      </c>
      <c r="U46" s="248">
        <f t="shared" si="1"/>
        <v>0</v>
      </c>
      <c r="V46" s="248">
        <f t="shared" si="2"/>
        <v>0</v>
      </c>
      <c r="W46" s="248">
        <f t="shared" si="3"/>
        <v>0</v>
      </c>
      <c r="X46" s="248">
        <f t="shared" si="4"/>
        <v>0</v>
      </c>
      <c r="Y46" s="248" t="s">
        <v>1</v>
      </c>
      <c r="Z46" s="248" t="s">
        <v>1</v>
      </c>
      <c r="AA46" s="248" t="s">
        <v>1</v>
      </c>
      <c r="AB46" s="248" t="s">
        <v>1</v>
      </c>
      <c r="AC46" s="248">
        <f>SUM(AC43:AC45)</f>
        <v>0</v>
      </c>
      <c r="AD46" s="248">
        <f>SUM(AD43:AD45)</f>
        <v>0</v>
      </c>
      <c r="AE46" s="248">
        <f>SUM(AE43:AE45)</f>
        <v>0</v>
      </c>
      <c r="AF46" s="248">
        <f>SUM(AF43:AF45)</f>
        <v>0</v>
      </c>
      <c r="AG46" s="248">
        <f>SUM(AG43:AG45)</f>
        <v>0</v>
      </c>
      <c r="AH46" s="248" t="s">
        <v>1</v>
      </c>
      <c r="AI46" s="248" t="s">
        <v>1</v>
      </c>
      <c r="AJ46" s="248" t="s">
        <v>1</v>
      </c>
      <c r="AK46" s="248" t="s">
        <v>1</v>
      </c>
      <c r="AL46" s="248">
        <f>SUM(AL43:AL45)</f>
        <v>0</v>
      </c>
      <c r="AM46" s="248">
        <f>SUM(AM43:AM45)</f>
        <v>0</v>
      </c>
      <c r="AN46" s="248">
        <f>SUM(AN43:AN45)</f>
        <v>0</v>
      </c>
      <c r="AO46" s="248">
        <f>SUM(AO43:AO45)</f>
        <v>0</v>
      </c>
      <c r="AP46" s="248">
        <f>SUM(AP43:AP45)</f>
        <v>0</v>
      </c>
    </row>
    <row r="47" spans="1:42" ht="13.5">
      <c r="A47" s="232"/>
      <c r="B47" s="207" t="s">
        <v>227</v>
      </c>
      <c r="C47" s="246"/>
      <c r="D47" s="246"/>
      <c r="E47" s="246"/>
      <c r="F47" s="246"/>
      <c r="G47" s="246"/>
      <c r="H47" s="246"/>
      <c r="I47" s="207"/>
      <c r="J47" s="207"/>
      <c r="K47" s="207"/>
      <c r="L47" s="207"/>
      <c r="M47" s="207"/>
      <c r="N47" s="246"/>
      <c r="O47" s="207"/>
      <c r="P47" s="207"/>
      <c r="Q47" s="207"/>
      <c r="R47" s="207"/>
      <c r="S47" s="207"/>
      <c r="T47" s="321">
        <f t="shared" si="0"/>
        <v>0</v>
      </c>
      <c r="U47" s="246">
        <f t="shared" si="1"/>
        <v>0</v>
      </c>
      <c r="V47" s="246">
        <f t="shared" si="2"/>
        <v>0</v>
      </c>
      <c r="W47" s="246">
        <f t="shared" si="3"/>
        <v>0</v>
      </c>
      <c r="X47" s="246">
        <f t="shared" si="4"/>
        <v>0</v>
      </c>
      <c r="Y47" s="246"/>
      <c r="Z47" s="246"/>
      <c r="AA47" s="246"/>
      <c r="AB47" s="246"/>
      <c r="AC47" s="207"/>
      <c r="AD47" s="207"/>
      <c r="AE47" s="207"/>
      <c r="AF47" s="207"/>
      <c r="AG47" s="207"/>
      <c r="AH47" s="246"/>
      <c r="AI47" s="246"/>
      <c r="AJ47" s="246"/>
      <c r="AK47" s="246"/>
      <c r="AL47" s="207"/>
      <c r="AM47" s="207"/>
      <c r="AN47" s="207"/>
      <c r="AO47" s="207"/>
      <c r="AP47" s="207"/>
    </row>
    <row r="48" spans="1:42" ht="13.5">
      <c r="A48" s="232">
        <v>1</v>
      </c>
      <c r="B48" s="104"/>
      <c r="C48" s="232"/>
      <c r="D48" s="246"/>
      <c r="E48" s="246"/>
      <c r="F48" s="246"/>
      <c r="G48" s="246"/>
      <c r="H48" s="246"/>
      <c r="I48" s="104"/>
      <c r="J48" s="232"/>
      <c r="K48" s="232"/>
      <c r="L48" s="232"/>
      <c r="M48" s="246">
        <f>J48+K48+L48</f>
        <v>0</v>
      </c>
      <c r="N48" s="246"/>
      <c r="O48" s="104"/>
      <c r="P48" s="232"/>
      <c r="Q48" s="232"/>
      <c r="R48" s="232"/>
      <c r="S48" s="246">
        <f>P48+Q48+R48</f>
        <v>0</v>
      </c>
      <c r="T48" s="321">
        <f t="shared" si="0"/>
        <v>0</v>
      </c>
      <c r="U48" s="246">
        <f t="shared" si="1"/>
        <v>0</v>
      </c>
      <c r="V48" s="246">
        <f t="shared" si="2"/>
        <v>0</v>
      </c>
      <c r="W48" s="246">
        <f t="shared" si="3"/>
        <v>0</v>
      </c>
      <c r="X48" s="246">
        <f t="shared" si="4"/>
        <v>0</v>
      </c>
      <c r="Y48" s="246"/>
      <c r="Z48" s="246"/>
      <c r="AA48" s="246"/>
      <c r="AB48" s="246"/>
      <c r="AC48" s="104"/>
      <c r="AD48" s="232"/>
      <c r="AE48" s="232"/>
      <c r="AF48" s="232"/>
      <c r="AG48" s="246">
        <f>AD48+AE48+AF48</f>
        <v>0</v>
      </c>
      <c r="AH48" s="246"/>
      <c r="AI48" s="246"/>
      <c r="AJ48" s="246"/>
      <c r="AK48" s="246"/>
      <c r="AL48" s="104"/>
      <c r="AM48" s="232"/>
      <c r="AN48" s="232"/>
      <c r="AO48" s="232"/>
      <c r="AP48" s="246">
        <f>AM48+AN48+AO48</f>
        <v>0</v>
      </c>
    </row>
    <row r="49" spans="1:42" ht="13.5">
      <c r="A49" s="232">
        <v>2</v>
      </c>
      <c r="B49" s="104"/>
      <c r="C49" s="232"/>
      <c r="D49" s="246"/>
      <c r="E49" s="246"/>
      <c r="F49" s="246"/>
      <c r="G49" s="246"/>
      <c r="H49" s="246"/>
      <c r="I49" s="104"/>
      <c r="J49" s="232"/>
      <c r="K49" s="232"/>
      <c r="L49" s="232"/>
      <c r="M49" s="246">
        <f>J49+K49+L49</f>
        <v>0</v>
      </c>
      <c r="N49" s="246"/>
      <c r="O49" s="104"/>
      <c r="P49" s="232"/>
      <c r="Q49" s="232"/>
      <c r="R49" s="232"/>
      <c r="S49" s="246">
        <f>P49+Q49+R49</f>
        <v>0</v>
      </c>
      <c r="T49" s="321">
        <f t="shared" si="0"/>
        <v>0</v>
      </c>
      <c r="U49" s="246">
        <f t="shared" si="1"/>
        <v>0</v>
      </c>
      <c r="V49" s="246">
        <f t="shared" si="2"/>
        <v>0</v>
      </c>
      <c r="W49" s="246">
        <f t="shared" si="3"/>
        <v>0</v>
      </c>
      <c r="X49" s="246">
        <f t="shared" si="4"/>
        <v>0</v>
      </c>
      <c r="Y49" s="246"/>
      <c r="Z49" s="246"/>
      <c r="AA49" s="246"/>
      <c r="AB49" s="246"/>
      <c r="AC49" s="104"/>
      <c r="AD49" s="232"/>
      <c r="AE49" s="232"/>
      <c r="AF49" s="232"/>
      <c r="AG49" s="246">
        <f>AD49+AE49+AF49</f>
        <v>0</v>
      </c>
      <c r="AH49" s="246"/>
      <c r="AI49" s="246"/>
      <c r="AJ49" s="246"/>
      <c r="AK49" s="246"/>
      <c r="AL49" s="104"/>
      <c r="AM49" s="232"/>
      <c r="AN49" s="232"/>
      <c r="AO49" s="232"/>
      <c r="AP49" s="246">
        <f>AM49+AN49+AO49</f>
        <v>0</v>
      </c>
    </row>
    <row r="50" spans="1:42" ht="13.5">
      <c r="A50" s="232">
        <v>3</v>
      </c>
      <c r="B50" s="247"/>
      <c r="C50" s="232"/>
      <c r="D50" s="246"/>
      <c r="E50" s="246"/>
      <c r="F50" s="246"/>
      <c r="G50" s="246"/>
      <c r="H50" s="246"/>
      <c r="I50" s="104"/>
      <c r="J50" s="232"/>
      <c r="K50" s="232"/>
      <c r="L50" s="232"/>
      <c r="M50" s="246">
        <f>J50+K50+L50</f>
        <v>0</v>
      </c>
      <c r="N50" s="246"/>
      <c r="O50" s="104"/>
      <c r="P50" s="232"/>
      <c r="Q50" s="232"/>
      <c r="R50" s="232"/>
      <c r="S50" s="246">
        <f>P50+Q50+R50</f>
        <v>0</v>
      </c>
      <c r="T50" s="321">
        <f t="shared" si="0"/>
        <v>0</v>
      </c>
      <c r="U50" s="246">
        <f t="shared" si="1"/>
        <v>0</v>
      </c>
      <c r="V50" s="246">
        <f t="shared" si="2"/>
        <v>0</v>
      </c>
      <c r="W50" s="246">
        <f t="shared" si="3"/>
        <v>0</v>
      </c>
      <c r="X50" s="246">
        <f t="shared" si="4"/>
        <v>0</v>
      </c>
      <c r="Y50" s="246"/>
      <c r="Z50" s="246"/>
      <c r="AA50" s="246"/>
      <c r="AB50" s="246"/>
      <c r="AC50" s="104"/>
      <c r="AD50" s="232"/>
      <c r="AE50" s="232"/>
      <c r="AF50" s="232"/>
      <c r="AG50" s="246">
        <f>AD50+AE50+AF50</f>
        <v>0</v>
      </c>
      <c r="AH50" s="246"/>
      <c r="AI50" s="246"/>
      <c r="AJ50" s="246"/>
      <c r="AK50" s="246"/>
      <c r="AL50" s="104"/>
      <c r="AM50" s="232"/>
      <c r="AN50" s="232"/>
      <c r="AO50" s="232"/>
      <c r="AP50" s="246">
        <f>AM50+AN50+AO50</f>
        <v>0</v>
      </c>
    </row>
    <row r="51" spans="1:42" s="249" customFormat="1" ht="27">
      <c r="A51" s="244"/>
      <c r="B51" s="252" t="s">
        <v>228</v>
      </c>
      <c r="C51" s="248" t="s">
        <v>1</v>
      </c>
      <c r="D51" s="248" t="s">
        <v>1</v>
      </c>
      <c r="E51" s="248" t="s">
        <v>1</v>
      </c>
      <c r="F51" s="248" t="s">
        <v>1</v>
      </c>
      <c r="G51" s="248" t="s">
        <v>1</v>
      </c>
      <c r="H51" s="248" t="s">
        <v>1</v>
      </c>
      <c r="I51" s="248">
        <f>SUM(I48:I50)</f>
        <v>0</v>
      </c>
      <c r="J51" s="248">
        <f>SUM(J48:J50)</f>
        <v>0</v>
      </c>
      <c r="K51" s="248">
        <f>SUM(K48:K50)</f>
        <v>0</v>
      </c>
      <c r="L51" s="248">
        <f>SUM(L48:L50)</f>
        <v>0</v>
      </c>
      <c r="M51" s="248">
        <f>SUM(M48:M50)</f>
        <v>0</v>
      </c>
      <c r="N51" s="248" t="s">
        <v>1</v>
      </c>
      <c r="O51" s="248">
        <f>SUM(O48:O50)</f>
        <v>0</v>
      </c>
      <c r="P51" s="248">
        <f>SUM(P48:P50)</f>
        <v>0</v>
      </c>
      <c r="Q51" s="248">
        <f>SUM(Q48:Q50)</f>
        <v>0</v>
      </c>
      <c r="R51" s="248">
        <f>SUM(R48:R50)</f>
        <v>0</v>
      </c>
      <c r="S51" s="248">
        <f>SUM(S48:S50)</f>
        <v>0</v>
      </c>
      <c r="T51" s="362">
        <f t="shared" si="0"/>
        <v>0</v>
      </c>
      <c r="U51" s="248">
        <f t="shared" si="1"/>
        <v>0</v>
      </c>
      <c r="V51" s="248">
        <f t="shared" si="2"/>
        <v>0</v>
      </c>
      <c r="W51" s="248">
        <f t="shared" si="3"/>
        <v>0</v>
      </c>
      <c r="X51" s="248">
        <f t="shared" si="4"/>
        <v>0</v>
      </c>
      <c r="Y51" s="248" t="s">
        <v>1</v>
      </c>
      <c r="Z51" s="248" t="s">
        <v>1</v>
      </c>
      <c r="AA51" s="248" t="s">
        <v>1</v>
      </c>
      <c r="AB51" s="248" t="s">
        <v>1</v>
      </c>
      <c r="AC51" s="248">
        <f>SUM(AC48:AC50)</f>
        <v>0</v>
      </c>
      <c r="AD51" s="248">
        <f>SUM(AD48:AD50)</f>
        <v>0</v>
      </c>
      <c r="AE51" s="248">
        <f>SUM(AE48:AE50)</f>
        <v>0</v>
      </c>
      <c r="AF51" s="248">
        <f>SUM(AF48:AF50)</f>
        <v>0</v>
      </c>
      <c r="AG51" s="248">
        <f>SUM(AG48:AG50)</f>
        <v>0</v>
      </c>
      <c r="AH51" s="248" t="s">
        <v>1</v>
      </c>
      <c r="AI51" s="248" t="s">
        <v>1</v>
      </c>
      <c r="AJ51" s="248" t="s">
        <v>1</v>
      </c>
      <c r="AK51" s="248" t="s">
        <v>1</v>
      </c>
      <c r="AL51" s="248">
        <f>SUM(AL48:AL50)</f>
        <v>0</v>
      </c>
      <c r="AM51" s="248">
        <f>SUM(AM48:AM50)</f>
        <v>0</v>
      </c>
      <c r="AN51" s="248">
        <f>SUM(AN48:AN50)</f>
        <v>0</v>
      </c>
      <c r="AO51" s="248">
        <f>SUM(AO48:AO50)</f>
        <v>0</v>
      </c>
      <c r="AP51" s="248">
        <f>SUM(AP48:AP50)</f>
        <v>0</v>
      </c>
    </row>
    <row r="52" spans="1:42" s="249" customFormat="1" ht="27">
      <c r="A52" s="244"/>
      <c r="B52" s="252" t="s">
        <v>232</v>
      </c>
      <c r="C52" s="248" t="s">
        <v>1</v>
      </c>
      <c r="D52" s="248" t="s">
        <v>1</v>
      </c>
      <c r="E52" s="248" t="s">
        <v>1</v>
      </c>
      <c r="F52" s="248" t="s">
        <v>1</v>
      </c>
      <c r="G52" s="248" t="s">
        <v>1</v>
      </c>
      <c r="H52" s="248" t="s">
        <v>1</v>
      </c>
      <c r="I52" s="248">
        <f>I46+I51</f>
        <v>0</v>
      </c>
      <c r="J52" s="248">
        <f>J46+J51</f>
        <v>0</v>
      </c>
      <c r="K52" s="248">
        <f>K46+K51</f>
        <v>0</v>
      </c>
      <c r="L52" s="248">
        <f>L46+L51</f>
        <v>0</v>
      </c>
      <c r="M52" s="248">
        <f>M46+M51</f>
        <v>0</v>
      </c>
      <c r="N52" s="248" t="s">
        <v>1</v>
      </c>
      <c r="O52" s="248">
        <f>O46+O51</f>
        <v>0</v>
      </c>
      <c r="P52" s="248">
        <f>P46+P51</f>
        <v>0</v>
      </c>
      <c r="Q52" s="248">
        <f>Q46+Q51</f>
        <v>0</v>
      </c>
      <c r="R52" s="248">
        <f>R46+R51</f>
        <v>0</v>
      </c>
      <c r="S52" s="248">
        <f aca="true" t="shared" si="8" ref="S52:X52">S46+S51</f>
        <v>0</v>
      </c>
      <c r="T52" s="248">
        <f t="shared" si="8"/>
        <v>0</v>
      </c>
      <c r="U52" s="248">
        <f t="shared" si="8"/>
        <v>0</v>
      </c>
      <c r="V52" s="248">
        <f t="shared" si="8"/>
        <v>0</v>
      </c>
      <c r="W52" s="248">
        <f t="shared" si="8"/>
        <v>0</v>
      </c>
      <c r="X52" s="248">
        <f t="shared" si="8"/>
        <v>0</v>
      </c>
      <c r="Y52" s="248" t="s">
        <v>1</v>
      </c>
      <c r="Z52" s="248" t="s">
        <v>1</v>
      </c>
      <c r="AA52" s="248" t="s">
        <v>1</v>
      </c>
      <c r="AB52" s="248" t="s">
        <v>1</v>
      </c>
      <c r="AC52" s="248">
        <f>AC46+AC51</f>
        <v>0</v>
      </c>
      <c r="AD52" s="248">
        <f>AD46+AD51</f>
        <v>0</v>
      </c>
      <c r="AE52" s="248">
        <f>AE46+AE51</f>
        <v>0</v>
      </c>
      <c r="AF52" s="248">
        <f>AF46+AF51</f>
        <v>0</v>
      </c>
      <c r="AG52" s="248">
        <f>AG46+AG51</f>
        <v>0</v>
      </c>
      <c r="AH52" s="248" t="s">
        <v>1</v>
      </c>
      <c r="AI52" s="248" t="s">
        <v>1</v>
      </c>
      <c r="AJ52" s="248" t="s">
        <v>1</v>
      </c>
      <c r="AK52" s="248" t="s">
        <v>1</v>
      </c>
      <c r="AL52" s="248">
        <f>AL46+AL51</f>
        <v>0</v>
      </c>
      <c r="AM52" s="248">
        <f>AM46+AM51</f>
        <v>0</v>
      </c>
      <c r="AN52" s="248">
        <f>AN46+AN51</f>
        <v>0</v>
      </c>
      <c r="AO52" s="248">
        <f>AO46+AO51</f>
        <v>0</v>
      </c>
      <c r="AP52" s="248">
        <f>AP46+AP51</f>
        <v>0</v>
      </c>
    </row>
    <row r="53" spans="1:42" ht="13.5">
      <c r="A53" s="232"/>
      <c r="B53" s="247"/>
      <c r="C53" s="246"/>
      <c r="D53" s="246"/>
      <c r="E53" s="246"/>
      <c r="F53" s="246"/>
      <c r="G53" s="246"/>
      <c r="H53" s="246"/>
      <c r="I53" s="247"/>
      <c r="J53" s="247"/>
      <c r="K53" s="247"/>
      <c r="L53" s="247"/>
      <c r="M53" s="247"/>
      <c r="N53" s="246"/>
      <c r="O53" s="247"/>
      <c r="P53" s="247"/>
      <c r="Q53" s="247"/>
      <c r="R53" s="247"/>
      <c r="S53" s="247"/>
      <c r="T53" s="321"/>
      <c r="U53" s="246"/>
      <c r="V53" s="246"/>
      <c r="W53" s="246"/>
      <c r="X53" s="246"/>
      <c r="Y53" s="246"/>
      <c r="Z53" s="246"/>
      <c r="AA53" s="246"/>
      <c r="AB53" s="246"/>
      <c r="AC53" s="247"/>
      <c r="AD53" s="247"/>
      <c r="AE53" s="247"/>
      <c r="AF53" s="247"/>
      <c r="AG53" s="247"/>
      <c r="AH53" s="246"/>
      <c r="AI53" s="246"/>
      <c r="AJ53" s="246"/>
      <c r="AK53" s="246"/>
      <c r="AL53" s="247"/>
      <c r="AM53" s="247"/>
      <c r="AN53" s="247"/>
      <c r="AO53" s="247"/>
      <c r="AP53" s="247"/>
    </row>
    <row r="54" spans="1:42" ht="13.5">
      <c r="A54" s="232"/>
      <c r="B54" s="104"/>
      <c r="C54" s="246"/>
      <c r="D54" s="246"/>
      <c r="E54" s="246"/>
      <c r="F54" s="246"/>
      <c r="G54" s="246"/>
      <c r="H54" s="246"/>
      <c r="I54" s="104"/>
      <c r="J54" s="104"/>
      <c r="K54" s="104"/>
      <c r="L54" s="104"/>
      <c r="M54" s="104"/>
      <c r="N54" s="246"/>
      <c r="O54" s="104"/>
      <c r="P54" s="104"/>
      <c r="Q54" s="104"/>
      <c r="R54" s="104"/>
      <c r="S54" s="104"/>
      <c r="T54" s="321"/>
      <c r="U54" s="246"/>
      <c r="V54" s="246"/>
      <c r="W54" s="246"/>
      <c r="X54" s="246"/>
      <c r="Y54" s="246"/>
      <c r="Z54" s="246"/>
      <c r="AA54" s="246"/>
      <c r="AB54" s="246"/>
      <c r="AC54" s="104"/>
      <c r="AD54" s="104"/>
      <c r="AE54" s="104"/>
      <c r="AF54" s="104"/>
      <c r="AG54" s="104"/>
      <c r="AH54" s="246"/>
      <c r="AI54" s="246"/>
      <c r="AJ54" s="246"/>
      <c r="AK54" s="246"/>
      <c r="AL54" s="104"/>
      <c r="AM54" s="104"/>
      <c r="AN54" s="104"/>
      <c r="AO54" s="104"/>
      <c r="AP54" s="104"/>
    </row>
    <row r="55" spans="1:42" ht="54">
      <c r="A55" s="244" t="s">
        <v>3</v>
      </c>
      <c r="B55" s="245" t="s">
        <v>422</v>
      </c>
      <c r="C55" s="246"/>
      <c r="D55" s="246"/>
      <c r="E55" s="246"/>
      <c r="F55" s="246"/>
      <c r="G55" s="246"/>
      <c r="H55" s="246"/>
      <c r="I55" s="245"/>
      <c r="J55" s="245"/>
      <c r="K55" s="245"/>
      <c r="L55" s="245"/>
      <c r="M55" s="245"/>
      <c r="N55" s="246"/>
      <c r="O55" s="245"/>
      <c r="P55" s="245"/>
      <c r="Q55" s="245"/>
      <c r="R55" s="245"/>
      <c r="S55" s="245"/>
      <c r="T55" s="321"/>
      <c r="U55" s="246"/>
      <c r="V55" s="246"/>
      <c r="W55" s="246"/>
      <c r="X55" s="246"/>
      <c r="Y55" s="246"/>
      <c r="Z55" s="246"/>
      <c r="AA55" s="246"/>
      <c r="AB55" s="246"/>
      <c r="AC55" s="245"/>
      <c r="AD55" s="245"/>
      <c r="AE55" s="245"/>
      <c r="AF55" s="245"/>
      <c r="AG55" s="245"/>
      <c r="AH55" s="246"/>
      <c r="AI55" s="246"/>
      <c r="AJ55" s="246"/>
      <c r="AK55" s="246"/>
      <c r="AL55" s="245"/>
      <c r="AM55" s="245"/>
      <c r="AN55" s="245"/>
      <c r="AO55" s="245"/>
      <c r="AP55" s="245"/>
    </row>
    <row r="56" spans="1:42" ht="13.5">
      <c r="A56" s="232"/>
      <c r="B56" s="207" t="s">
        <v>123</v>
      </c>
      <c r="C56" s="246"/>
      <c r="D56" s="246"/>
      <c r="E56" s="246"/>
      <c r="F56" s="246"/>
      <c r="G56" s="246"/>
      <c r="H56" s="246"/>
      <c r="I56" s="207"/>
      <c r="J56" s="207"/>
      <c r="K56" s="207"/>
      <c r="L56" s="207"/>
      <c r="M56" s="207"/>
      <c r="N56" s="246"/>
      <c r="O56" s="207"/>
      <c r="P56" s="207"/>
      <c r="Q56" s="207"/>
      <c r="R56" s="207"/>
      <c r="S56" s="207"/>
      <c r="T56" s="321"/>
      <c r="U56" s="246"/>
      <c r="V56" s="246"/>
      <c r="W56" s="246"/>
      <c r="X56" s="246"/>
      <c r="Y56" s="246"/>
      <c r="Z56" s="246"/>
      <c r="AA56" s="246"/>
      <c r="AB56" s="246"/>
      <c r="AC56" s="207"/>
      <c r="AD56" s="207"/>
      <c r="AE56" s="207"/>
      <c r="AF56" s="207"/>
      <c r="AG56" s="207"/>
      <c r="AH56" s="246"/>
      <c r="AI56" s="246"/>
      <c r="AJ56" s="246"/>
      <c r="AK56" s="246"/>
      <c r="AL56" s="207"/>
      <c r="AM56" s="207"/>
      <c r="AN56" s="207"/>
      <c r="AO56" s="207"/>
      <c r="AP56" s="207"/>
    </row>
    <row r="57" spans="1:42" ht="13.5">
      <c r="A57" s="232">
        <v>1</v>
      </c>
      <c r="B57" s="104"/>
      <c r="C57" s="232"/>
      <c r="D57" s="246" t="s">
        <v>1</v>
      </c>
      <c r="E57" s="246"/>
      <c r="F57" s="246"/>
      <c r="G57" s="246" t="s">
        <v>1</v>
      </c>
      <c r="H57" s="246"/>
      <c r="I57" s="104"/>
      <c r="J57" s="232"/>
      <c r="K57" s="232"/>
      <c r="L57" s="232"/>
      <c r="M57" s="246">
        <f>J57+K57+L57</f>
        <v>0</v>
      </c>
      <c r="N57" s="246"/>
      <c r="O57" s="104"/>
      <c r="P57" s="232"/>
      <c r="Q57" s="232"/>
      <c r="R57" s="232"/>
      <c r="S57" s="246">
        <f>P57+Q57+R57</f>
        <v>0</v>
      </c>
      <c r="T57" s="321">
        <f t="shared" si="0"/>
        <v>0</v>
      </c>
      <c r="U57" s="246">
        <f t="shared" si="1"/>
        <v>0</v>
      </c>
      <c r="V57" s="246">
        <f t="shared" si="2"/>
        <v>0</v>
      </c>
      <c r="W57" s="246">
        <f t="shared" si="3"/>
        <v>0</v>
      </c>
      <c r="X57" s="246">
        <f t="shared" si="4"/>
        <v>0</v>
      </c>
      <c r="Y57" s="246"/>
      <c r="Z57" s="246"/>
      <c r="AA57" s="246" t="s">
        <v>1</v>
      </c>
      <c r="AB57" s="246"/>
      <c r="AC57" s="104"/>
      <c r="AD57" s="232"/>
      <c r="AE57" s="232"/>
      <c r="AF57" s="232"/>
      <c r="AG57" s="246">
        <f>AD57+AE57+AF57</f>
        <v>0</v>
      </c>
      <c r="AH57" s="246"/>
      <c r="AI57" s="246"/>
      <c r="AJ57" s="246" t="s">
        <v>1</v>
      </c>
      <c r="AK57" s="246"/>
      <c r="AL57" s="104"/>
      <c r="AM57" s="232"/>
      <c r="AN57" s="232"/>
      <c r="AO57" s="232"/>
      <c r="AP57" s="246">
        <f>AM57+AN57+AO57</f>
        <v>0</v>
      </c>
    </row>
    <row r="58" spans="1:42" ht="13.5">
      <c r="A58" s="232">
        <v>2</v>
      </c>
      <c r="B58" s="104"/>
      <c r="C58" s="232"/>
      <c r="D58" s="246" t="s">
        <v>1</v>
      </c>
      <c r="E58" s="246"/>
      <c r="F58" s="246"/>
      <c r="G58" s="246" t="s">
        <v>1</v>
      </c>
      <c r="H58" s="246"/>
      <c r="I58" s="104"/>
      <c r="J58" s="232"/>
      <c r="K58" s="232"/>
      <c r="L58" s="232"/>
      <c r="M58" s="246">
        <f>J58+K58+L58</f>
        <v>0</v>
      </c>
      <c r="N58" s="246"/>
      <c r="O58" s="104"/>
      <c r="P58" s="232"/>
      <c r="Q58" s="232"/>
      <c r="R58" s="232"/>
      <c r="S58" s="246">
        <f>P58+Q58+R58</f>
        <v>0</v>
      </c>
      <c r="T58" s="321">
        <f t="shared" si="0"/>
        <v>0</v>
      </c>
      <c r="U58" s="246">
        <f t="shared" si="1"/>
        <v>0</v>
      </c>
      <c r="V58" s="246">
        <f t="shared" si="2"/>
        <v>0</v>
      </c>
      <c r="W58" s="246">
        <f t="shared" si="3"/>
        <v>0</v>
      </c>
      <c r="X58" s="246">
        <f t="shared" si="4"/>
        <v>0</v>
      </c>
      <c r="Y58" s="246"/>
      <c r="Z58" s="246"/>
      <c r="AA58" s="246" t="s">
        <v>1</v>
      </c>
      <c r="AB58" s="246"/>
      <c r="AC58" s="104"/>
      <c r="AD58" s="232"/>
      <c r="AE58" s="232"/>
      <c r="AF58" s="232"/>
      <c r="AG58" s="246">
        <f>AD58+AE58+AF58</f>
        <v>0</v>
      </c>
      <c r="AH58" s="246"/>
      <c r="AI58" s="246"/>
      <c r="AJ58" s="246" t="s">
        <v>1</v>
      </c>
      <c r="AK58" s="246"/>
      <c r="AL58" s="104"/>
      <c r="AM58" s="232"/>
      <c r="AN58" s="232"/>
      <c r="AO58" s="232"/>
      <c r="AP58" s="246">
        <f>AM58+AN58+AO58</f>
        <v>0</v>
      </c>
    </row>
    <row r="59" spans="1:42" ht="13.5">
      <c r="A59" s="232">
        <v>3</v>
      </c>
      <c r="B59" s="104"/>
      <c r="C59" s="232"/>
      <c r="D59" s="246" t="s">
        <v>1</v>
      </c>
      <c r="E59" s="246"/>
      <c r="F59" s="246"/>
      <c r="G59" s="246" t="s">
        <v>1</v>
      </c>
      <c r="H59" s="246"/>
      <c r="I59" s="104"/>
      <c r="J59" s="232"/>
      <c r="K59" s="232"/>
      <c r="L59" s="232"/>
      <c r="M59" s="246">
        <f>J59+K59+L59</f>
        <v>0</v>
      </c>
      <c r="N59" s="246"/>
      <c r="O59" s="104"/>
      <c r="P59" s="232"/>
      <c r="Q59" s="232"/>
      <c r="R59" s="232"/>
      <c r="S59" s="246">
        <f>P59+Q59+R59</f>
        <v>0</v>
      </c>
      <c r="T59" s="321">
        <f t="shared" si="0"/>
        <v>0</v>
      </c>
      <c r="U59" s="246">
        <f t="shared" si="1"/>
        <v>0</v>
      </c>
      <c r="V59" s="246">
        <f t="shared" si="2"/>
        <v>0</v>
      </c>
      <c r="W59" s="246">
        <f t="shared" si="3"/>
        <v>0</v>
      </c>
      <c r="X59" s="246">
        <f t="shared" si="4"/>
        <v>0</v>
      </c>
      <c r="Y59" s="246"/>
      <c r="Z59" s="246"/>
      <c r="AA59" s="246" t="s">
        <v>1</v>
      </c>
      <c r="AB59" s="246"/>
      <c r="AC59" s="104"/>
      <c r="AD59" s="232"/>
      <c r="AE59" s="232"/>
      <c r="AF59" s="232"/>
      <c r="AG59" s="246">
        <f>AD59+AE59+AF59</f>
        <v>0</v>
      </c>
      <c r="AH59" s="246"/>
      <c r="AI59" s="246"/>
      <c r="AJ59" s="246" t="s">
        <v>1</v>
      </c>
      <c r="AK59" s="246"/>
      <c r="AL59" s="104"/>
      <c r="AM59" s="232"/>
      <c r="AN59" s="232"/>
      <c r="AO59" s="232"/>
      <c r="AP59" s="246">
        <f>AM59+AN59+AO59</f>
        <v>0</v>
      </c>
    </row>
    <row r="60" spans="1:42" s="249" customFormat="1" ht="14.25">
      <c r="A60" s="244"/>
      <c r="B60" s="247" t="s">
        <v>110</v>
      </c>
      <c r="C60" s="248" t="s">
        <v>1</v>
      </c>
      <c r="D60" s="248" t="s">
        <v>1</v>
      </c>
      <c r="E60" s="248" t="s">
        <v>1</v>
      </c>
      <c r="F60" s="248" t="s">
        <v>1</v>
      </c>
      <c r="G60" s="248" t="s">
        <v>1</v>
      </c>
      <c r="H60" s="248" t="s">
        <v>1</v>
      </c>
      <c r="I60" s="248">
        <f>SUM(I57:I59)</f>
        <v>0</v>
      </c>
      <c r="J60" s="248">
        <f>SUM(J57:J59)</f>
        <v>0</v>
      </c>
      <c r="K60" s="248">
        <f>SUM(K57:K59)</f>
        <v>0</v>
      </c>
      <c r="L60" s="248">
        <f>SUM(L57:L59)</f>
        <v>0</v>
      </c>
      <c r="M60" s="248">
        <f>SUM(M57:M59)</f>
        <v>0</v>
      </c>
      <c r="N60" s="248" t="s">
        <v>1</v>
      </c>
      <c r="O60" s="248">
        <f>SUM(O57:O59)</f>
        <v>0</v>
      </c>
      <c r="P60" s="248">
        <f>SUM(P57:P59)</f>
        <v>0</v>
      </c>
      <c r="Q60" s="248">
        <f>SUM(Q57:Q59)</f>
        <v>0</v>
      </c>
      <c r="R60" s="248">
        <f>SUM(R57:R59)</f>
        <v>0</v>
      </c>
      <c r="S60" s="248">
        <f>SUM(S57:S59)</f>
        <v>0</v>
      </c>
      <c r="T60" s="321">
        <f t="shared" si="0"/>
        <v>0</v>
      </c>
      <c r="U60" s="246">
        <f t="shared" si="1"/>
        <v>0</v>
      </c>
      <c r="V60" s="246">
        <f t="shared" si="2"/>
        <v>0</v>
      </c>
      <c r="W60" s="246">
        <f t="shared" si="3"/>
        <v>0</v>
      </c>
      <c r="X60" s="246">
        <f t="shared" si="4"/>
        <v>0</v>
      </c>
      <c r="Y60" s="248" t="s">
        <v>1</v>
      </c>
      <c r="Z60" s="248" t="s">
        <v>1</v>
      </c>
      <c r="AA60" s="248" t="s">
        <v>1</v>
      </c>
      <c r="AB60" s="248" t="s">
        <v>1</v>
      </c>
      <c r="AC60" s="248">
        <f>SUM(AC57:AC59)</f>
        <v>0</v>
      </c>
      <c r="AD60" s="248">
        <f>SUM(AD57:AD59)</f>
        <v>0</v>
      </c>
      <c r="AE60" s="248">
        <f>SUM(AE57:AE59)</f>
        <v>0</v>
      </c>
      <c r="AF60" s="248">
        <f>SUM(AF57:AF59)</f>
        <v>0</v>
      </c>
      <c r="AG60" s="248">
        <f>SUM(AG57:AG59)</f>
        <v>0</v>
      </c>
      <c r="AH60" s="248" t="s">
        <v>1</v>
      </c>
      <c r="AI60" s="248" t="s">
        <v>1</v>
      </c>
      <c r="AJ60" s="248" t="s">
        <v>1</v>
      </c>
      <c r="AK60" s="248" t="s">
        <v>1</v>
      </c>
      <c r="AL60" s="248">
        <f>SUM(AL57:AL59)</f>
        <v>0</v>
      </c>
      <c r="AM60" s="248">
        <f>SUM(AM57:AM59)</f>
        <v>0</v>
      </c>
      <c r="AN60" s="248">
        <f>SUM(AN57:AN59)</f>
        <v>0</v>
      </c>
      <c r="AO60" s="248">
        <f>SUM(AO57:AO59)</f>
        <v>0</v>
      </c>
      <c r="AP60" s="248">
        <f>SUM(AP57:AP59)</f>
        <v>0</v>
      </c>
    </row>
    <row r="61" spans="1:42" ht="13.5">
      <c r="A61" s="232"/>
      <c r="B61" s="104"/>
      <c r="C61" s="246"/>
      <c r="D61" s="246"/>
      <c r="E61" s="246"/>
      <c r="F61" s="246"/>
      <c r="G61" s="246"/>
      <c r="H61" s="246"/>
      <c r="I61" s="104"/>
      <c r="J61" s="246"/>
      <c r="K61" s="246"/>
      <c r="L61" s="246"/>
      <c r="M61" s="246"/>
      <c r="N61" s="246"/>
      <c r="O61" s="104"/>
      <c r="P61" s="246"/>
      <c r="Q61" s="246"/>
      <c r="R61" s="246"/>
      <c r="S61" s="104"/>
      <c r="T61" s="321"/>
      <c r="U61" s="246"/>
      <c r="V61" s="246"/>
      <c r="W61" s="246"/>
      <c r="X61" s="246"/>
      <c r="Y61" s="246"/>
      <c r="Z61" s="246"/>
      <c r="AA61" s="246"/>
      <c r="AB61" s="246"/>
      <c r="AC61" s="104"/>
      <c r="AD61" s="246"/>
      <c r="AE61" s="246"/>
      <c r="AF61" s="246"/>
      <c r="AG61" s="246"/>
      <c r="AH61" s="246"/>
      <c r="AI61" s="246"/>
      <c r="AJ61" s="246"/>
      <c r="AK61" s="246"/>
      <c r="AL61" s="104"/>
      <c r="AM61" s="246"/>
      <c r="AN61" s="246"/>
      <c r="AO61" s="246"/>
      <c r="AP61" s="246"/>
    </row>
    <row r="62" spans="1:42" s="587" customFormat="1" ht="34.5">
      <c r="A62" s="585"/>
      <c r="B62" s="586" t="s">
        <v>233</v>
      </c>
      <c r="C62" s="362" t="s">
        <v>1</v>
      </c>
      <c r="D62" s="362" t="s">
        <v>1</v>
      </c>
      <c r="E62" s="362" t="s">
        <v>1</v>
      </c>
      <c r="F62" s="362" t="s">
        <v>1</v>
      </c>
      <c r="G62" s="362" t="s">
        <v>1</v>
      </c>
      <c r="H62" s="362" t="s">
        <v>1</v>
      </c>
      <c r="I62" s="362">
        <f>+I13+I22+I37+I52+I60</f>
        <v>0</v>
      </c>
      <c r="J62" s="362">
        <f aca="true" t="shared" si="9" ref="J62:X62">+J13+J22+J37+J52+J60</f>
        <v>0</v>
      </c>
      <c r="K62" s="362">
        <f t="shared" si="9"/>
        <v>0</v>
      </c>
      <c r="L62" s="362">
        <f t="shared" si="9"/>
        <v>0</v>
      </c>
      <c r="M62" s="362">
        <f t="shared" si="9"/>
        <v>0</v>
      </c>
      <c r="N62" s="362"/>
      <c r="O62" s="362">
        <f t="shared" si="9"/>
        <v>0</v>
      </c>
      <c r="P62" s="362">
        <f t="shared" si="9"/>
        <v>0</v>
      </c>
      <c r="Q62" s="362">
        <f t="shared" si="9"/>
        <v>0</v>
      </c>
      <c r="R62" s="362">
        <f t="shared" si="9"/>
        <v>0</v>
      </c>
      <c r="S62" s="362">
        <f t="shared" si="9"/>
        <v>0</v>
      </c>
      <c r="T62" s="362">
        <f t="shared" si="9"/>
        <v>0</v>
      </c>
      <c r="U62" s="362">
        <f t="shared" si="9"/>
        <v>0</v>
      </c>
      <c r="V62" s="362">
        <f t="shared" si="9"/>
        <v>0</v>
      </c>
      <c r="W62" s="362">
        <f t="shared" si="9"/>
        <v>0</v>
      </c>
      <c r="X62" s="362">
        <f t="shared" si="9"/>
        <v>0</v>
      </c>
      <c r="Y62" s="362" t="s">
        <v>1</v>
      </c>
      <c r="Z62" s="362" t="s">
        <v>1</v>
      </c>
      <c r="AA62" s="362" t="s">
        <v>1</v>
      </c>
      <c r="AB62" s="362" t="s">
        <v>1</v>
      </c>
      <c r="AC62" s="362">
        <f>+AC13+AC22+AC37+AC52+AC60</f>
        <v>0</v>
      </c>
      <c r="AD62" s="362">
        <f>+AD13+AD22+AD37+AD52+AD60</f>
        <v>0</v>
      </c>
      <c r="AE62" s="362">
        <f>+AE13+AE22+AE37+AE52+AE60</f>
        <v>0</v>
      </c>
      <c r="AF62" s="362">
        <f>+AF13+AF22+AF37+AF52+AF60</f>
        <v>0</v>
      </c>
      <c r="AG62" s="362">
        <f>+AG13+AG22+AG37+AG52+AG60</f>
        <v>0</v>
      </c>
      <c r="AH62" s="362" t="s">
        <v>1</v>
      </c>
      <c r="AI62" s="362" t="s">
        <v>1</v>
      </c>
      <c r="AJ62" s="362" t="s">
        <v>1</v>
      </c>
      <c r="AK62" s="362" t="s">
        <v>1</v>
      </c>
      <c r="AL62" s="362">
        <f>+AL13+AL22+AL37+AL52+AL60</f>
        <v>0</v>
      </c>
      <c r="AM62" s="362">
        <f>+AM13+AM22+AM37+AM52+AM60</f>
        <v>0</v>
      </c>
      <c r="AN62" s="362">
        <f>+AN13+AN22+AN37+AN52+AN60</f>
        <v>0</v>
      </c>
      <c r="AO62" s="362">
        <f>+AO13+AO22+AO37+AO52+AO60</f>
        <v>0</v>
      </c>
      <c r="AP62" s="362">
        <f>+AP13+AP22+AP37+AP52+AP60</f>
        <v>0</v>
      </c>
    </row>
    <row r="63" spans="1:42" s="16" customFormat="1" ht="12.75">
      <c r="A63" s="43"/>
      <c r="B63" s="253"/>
      <c r="C63" s="254"/>
      <c r="D63" s="43"/>
      <c r="E63" s="43"/>
      <c r="F63" s="43"/>
      <c r="G63" s="43"/>
      <c r="H63" s="43"/>
      <c r="I63" s="253"/>
      <c r="J63" s="43"/>
      <c r="K63" s="43"/>
      <c r="L63" s="43"/>
      <c r="M63" s="43"/>
      <c r="N63" s="43"/>
      <c r="O63" s="253"/>
      <c r="P63" s="43" t="s">
        <v>0</v>
      </c>
      <c r="Q63" s="43"/>
      <c r="R63" s="43"/>
      <c r="S63" s="253"/>
      <c r="T63" s="294" t="s">
        <v>0</v>
      </c>
      <c r="U63" s="253"/>
      <c r="V63" s="43" t="s">
        <v>0</v>
      </c>
      <c r="Y63" s="43"/>
      <c r="Z63" s="43"/>
      <c r="AA63" s="43"/>
      <c r="AB63" s="43"/>
      <c r="AC63" s="253"/>
      <c r="AD63" s="43"/>
      <c r="AE63" s="43"/>
      <c r="AF63" s="43"/>
      <c r="AG63" s="43"/>
      <c r="AH63" s="43"/>
      <c r="AI63" s="43"/>
      <c r="AJ63" s="43"/>
      <c r="AK63" s="43"/>
      <c r="AL63" s="253"/>
      <c r="AM63" s="43"/>
      <c r="AN63" s="43"/>
      <c r="AO63" s="43"/>
      <c r="AP63" s="43"/>
    </row>
    <row r="65" spans="2:20" ht="13.5">
      <c r="B65" s="5" t="s">
        <v>230</v>
      </c>
      <c r="T65" s="5"/>
    </row>
    <row r="66" spans="2:36" ht="27.75" customHeight="1">
      <c r="B66" s="191" t="s">
        <v>420</v>
      </c>
      <c r="C66" s="191"/>
      <c r="D66" s="324"/>
      <c r="E66" s="324"/>
      <c r="F66" s="324"/>
      <c r="G66" s="324"/>
      <c r="T66" s="5"/>
      <c r="Y66" s="324"/>
      <c r="Z66" s="324"/>
      <c r="AA66" s="324"/>
      <c r="AH66" s="324"/>
      <c r="AI66" s="324"/>
      <c r="AJ66" s="324"/>
    </row>
    <row r="67" spans="2:20" ht="37.5" customHeight="1">
      <c r="B67" s="963" t="s">
        <v>419</v>
      </c>
      <c r="C67" s="964"/>
      <c r="D67" s="964"/>
      <c r="E67" s="964"/>
      <c r="F67" s="964"/>
      <c r="G67" s="964"/>
      <c r="H67" s="964"/>
      <c r="I67" s="964"/>
      <c r="T67" s="5"/>
    </row>
    <row r="68" spans="2:36" ht="29.25" customHeight="1">
      <c r="B68" s="592" t="s">
        <v>486</v>
      </c>
      <c r="C68" s="324"/>
      <c r="D68" s="324"/>
      <c r="E68" s="324"/>
      <c r="F68" s="324"/>
      <c r="G68" s="324"/>
      <c r="T68" s="5"/>
      <c r="Y68" s="324"/>
      <c r="Z68" s="324"/>
      <c r="AA68" s="324"/>
      <c r="AH68" s="324"/>
      <c r="AI68" s="324"/>
      <c r="AJ68" s="324"/>
    </row>
    <row r="69" spans="2:8" ht="39" customHeight="1">
      <c r="B69" s="968" t="s">
        <v>493</v>
      </c>
      <c r="C69" s="968"/>
      <c r="D69" s="968"/>
      <c r="E69" s="968"/>
      <c r="F69" s="968"/>
      <c r="G69" s="968"/>
      <c r="H69" s="968"/>
    </row>
  </sheetData>
  <sheetProtection/>
  <mergeCells count="7">
    <mergeCell ref="AK4:AP4"/>
    <mergeCell ref="B69:H69"/>
    <mergeCell ref="H4:M4"/>
    <mergeCell ref="N4:S4"/>
    <mergeCell ref="T4:X4"/>
    <mergeCell ref="B67:I67"/>
    <mergeCell ref="AB4:AG4"/>
  </mergeCells>
  <printOptions/>
  <pageMargins left="0.17" right="0.16" top="0.22" bottom="0.19" header="0.17" footer="0.1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2"/>
  <sheetViews>
    <sheetView tabSelected="1" zoomScalePageLayoutView="0" workbookViewId="0" topLeftCell="A7">
      <selection activeCell="N20" sqref="N20"/>
    </sheetView>
  </sheetViews>
  <sheetFormatPr defaultColWidth="9.140625" defaultRowHeight="12.75"/>
  <cols>
    <col min="1" max="1" width="7.7109375" style="21" customWidth="1"/>
    <col min="2" max="2" width="9.00390625" style="21" customWidth="1"/>
    <col min="3" max="3" width="6.140625" style="16" customWidth="1"/>
    <col min="4" max="4" width="38.8515625" style="221" customWidth="1"/>
    <col min="5" max="5" width="11.8515625" style="4" customWidth="1"/>
    <col min="6" max="6" width="11.7109375" style="4" customWidth="1"/>
    <col min="7" max="7" width="11.00390625" style="4" customWidth="1"/>
    <col min="8" max="8" width="12.57421875" style="4" customWidth="1"/>
    <col min="9" max="9" width="12.140625" style="4" customWidth="1"/>
    <col min="10" max="10" width="62.00390625" style="4" customWidth="1"/>
    <col min="11" max="12" width="11.00390625" style="4" customWidth="1"/>
    <col min="13" max="16384" width="9.140625" style="5" customWidth="1"/>
  </cols>
  <sheetData>
    <row r="1" spans="1:10" ht="21.75" customHeight="1">
      <c r="A1" s="33"/>
      <c r="B1" s="33"/>
      <c r="J1" s="40" t="s">
        <v>33</v>
      </c>
    </row>
    <row r="2" spans="1:12" s="33" customFormat="1" ht="25.5" customHeight="1" thickBot="1">
      <c r="A2" s="896" t="s">
        <v>605</v>
      </c>
      <c r="B2" s="896"/>
      <c r="C2" s="896"/>
      <c r="D2" s="896"/>
      <c r="E2" s="896"/>
      <c r="F2" s="896"/>
      <c r="G2" s="896"/>
      <c r="H2" s="896"/>
      <c r="I2" s="25"/>
      <c r="J2" s="40" t="s">
        <v>27</v>
      </c>
      <c r="K2" s="32"/>
      <c r="L2" s="32"/>
    </row>
    <row r="3" spans="1:10" s="558" customFormat="1" ht="16.5">
      <c r="A3" s="581" t="s">
        <v>398</v>
      </c>
      <c r="B3" s="581">
        <v>1</v>
      </c>
      <c r="C3" s="556"/>
      <c r="D3" s="897"/>
      <c r="E3" s="897"/>
      <c r="F3" s="897"/>
      <c r="G3" s="897"/>
      <c r="H3" s="897"/>
      <c r="I3" s="897"/>
      <c r="J3" s="557"/>
    </row>
    <row r="4" spans="1:12" s="558" customFormat="1" ht="16.5">
      <c r="A4" s="277" t="s">
        <v>399</v>
      </c>
      <c r="B4" s="277">
        <v>1</v>
      </c>
      <c r="C4" s="556"/>
      <c r="D4" s="561"/>
      <c r="E4" s="561"/>
      <c r="F4" s="561"/>
      <c r="G4" s="561"/>
      <c r="H4" s="561"/>
      <c r="I4" s="561"/>
      <c r="J4" s="557"/>
      <c r="K4" s="603"/>
      <c r="L4" s="603"/>
    </row>
    <row r="5" spans="1:12" s="33" customFormat="1" ht="14.25">
      <c r="A5" s="277" t="s">
        <v>400</v>
      </c>
      <c r="B5" s="277">
        <v>1</v>
      </c>
      <c r="C5" s="50"/>
      <c r="D5" s="6"/>
      <c r="E5" s="25"/>
      <c r="F5" s="25"/>
      <c r="G5" s="25"/>
      <c r="H5" s="25"/>
      <c r="I5" s="25"/>
      <c r="J5" s="25"/>
      <c r="K5" s="25"/>
      <c r="L5" s="25"/>
    </row>
    <row r="6" spans="1:9" s="16" customFormat="1" ht="13.5">
      <c r="A6" s="901"/>
      <c r="B6" s="901"/>
      <c r="C6" s="314"/>
      <c r="D6" s="354"/>
      <c r="E6" s="9"/>
      <c r="F6" s="9"/>
      <c r="H6" s="481" t="s">
        <v>356</v>
      </c>
      <c r="I6" s="480"/>
    </row>
    <row r="7" spans="1:12" s="16" customFormat="1" ht="13.5" customHeight="1">
      <c r="A7" s="890" t="s">
        <v>401</v>
      </c>
      <c r="B7" s="890"/>
      <c r="C7" s="899"/>
      <c r="D7" s="900"/>
      <c r="E7" s="54" t="s">
        <v>450</v>
      </c>
      <c r="F7" s="54" t="s">
        <v>451</v>
      </c>
      <c r="G7" s="64" t="s">
        <v>452</v>
      </c>
      <c r="H7" s="64"/>
      <c r="I7" s="64"/>
      <c r="J7" s="14"/>
      <c r="K7" s="56" t="s">
        <v>471</v>
      </c>
      <c r="L7" s="56" t="s">
        <v>502</v>
      </c>
    </row>
    <row r="8" spans="1:12" s="16" customFormat="1" ht="76.5">
      <c r="A8" s="566" t="s">
        <v>402</v>
      </c>
      <c r="B8" s="566" t="s">
        <v>403</v>
      </c>
      <c r="C8" s="518" t="s">
        <v>34</v>
      </c>
      <c r="D8" s="518" t="s">
        <v>368</v>
      </c>
      <c r="E8" s="14" t="s">
        <v>370</v>
      </c>
      <c r="F8" s="68" t="s">
        <v>29</v>
      </c>
      <c r="G8" s="14" t="s">
        <v>30</v>
      </c>
      <c r="H8" s="14" t="s">
        <v>503</v>
      </c>
      <c r="I8" s="679" t="s">
        <v>504</v>
      </c>
      <c r="J8" s="14" t="s">
        <v>279</v>
      </c>
      <c r="K8" s="14" t="s">
        <v>30</v>
      </c>
      <c r="L8" s="14" t="s">
        <v>30</v>
      </c>
    </row>
    <row r="9" spans="1:12" s="299" customFormat="1" ht="13.5">
      <c r="A9" s="575">
        <v>1</v>
      </c>
      <c r="B9" s="575">
        <v>2</v>
      </c>
      <c r="C9" s="575">
        <v>3</v>
      </c>
      <c r="D9" s="575">
        <v>4</v>
      </c>
      <c r="E9" s="575">
        <v>5</v>
      </c>
      <c r="F9" s="575">
        <v>6</v>
      </c>
      <c r="G9" s="575">
        <v>7</v>
      </c>
      <c r="H9" s="575">
        <v>8</v>
      </c>
      <c r="I9" s="575">
        <v>9</v>
      </c>
      <c r="J9" s="575">
        <v>10</v>
      </c>
      <c r="K9" s="575">
        <v>11</v>
      </c>
      <c r="L9" s="575">
        <v>12</v>
      </c>
    </row>
    <row r="10" spans="1:12" s="186" customFormat="1" ht="14.25" customHeight="1">
      <c r="A10" s="898" t="s">
        <v>606</v>
      </c>
      <c r="B10" s="893">
        <v>11001</v>
      </c>
      <c r="C10" s="567"/>
      <c r="D10" s="306" t="s">
        <v>277</v>
      </c>
      <c r="E10" s="298">
        <v>287</v>
      </c>
      <c r="F10" s="298">
        <v>287</v>
      </c>
      <c r="G10" s="298">
        <v>287</v>
      </c>
      <c r="H10" s="298">
        <f>+G10-F10</f>
        <v>0</v>
      </c>
      <c r="I10" s="298">
        <f aca="true" t="shared" si="0" ref="I10:I41">G10-E10</f>
        <v>0</v>
      </c>
      <c r="J10" s="298"/>
      <c r="K10" s="298">
        <v>287</v>
      </c>
      <c r="L10" s="298"/>
    </row>
    <row r="11" spans="1:12" s="186" customFormat="1" ht="13.5" customHeight="1">
      <c r="A11" s="888"/>
      <c r="B11" s="894"/>
      <c r="C11" s="568"/>
      <c r="D11" s="307"/>
      <c r="E11" s="175"/>
      <c r="F11" s="175"/>
      <c r="G11" s="175"/>
      <c r="H11" s="175">
        <f aca="true" t="shared" si="1" ref="H11:H76">+G11-F11</f>
        <v>0</v>
      </c>
      <c r="I11" s="175">
        <f t="shared" si="0"/>
        <v>0</v>
      </c>
      <c r="J11" s="175"/>
      <c r="K11" s="175">
        <v>287</v>
      </c>
      <c r="L11" s="175"/>
    </row>
    <row r="12" spans="1:12" s="186" customFormat="1" ht="14.25" customHeight="1">
      <c r="A12" s="888"/>
      <c r="B12" s="894"/>
      <c r="C12" s="568"/>
      <c r="D12" s="308" t="s">
        <v>31</v>
      </c>
      <c r="E12" s="175">
        <v>4</v>
      </c>
      <c r="F12" s="175">
        <v>4</v>
      </c>
      <c r="G12" s="175">
        <v>4</v>
      </c>
      <c r="H12" s="175">
        <f t="shared" si="1"/>
        <v>0</v>
      </c>
      <c r="I12" s="175">
        <f t="shared" si="0"/>
        <v>0</v>
      </c>
      <c r="J12" s="175"/>
      <c r="K12" s="175"/>
      <c r="L12" s="175"/>
    </row>
    <row r="13" spans="1:12" s="301" customFormat="1" ht="14.25" customHeight="1">
      <c r="A13" s="888"/>
      <c r="B13" s="894"/>
      <c r="C13" s="568"/>
      <c r="D13" s="307"/>
      <c r="E13" s="175"/>
      <c r="F13" s="175"/>
      <c r="G13" s="175"/>
      <c r="H13" s="175">
        <f t="shared" si="1"/>
        <v>0</v>
      </c>
      <c r="I13" s="175">
        <f t="shared" si="0"/>
        <v>0</v>
      </c>
      <c r="J13" s="175"/>
      <c r="K13" s="175"/>
      <c r="L13" s="175"/>
    </row>
    <row r="14" spans="1:12" s="299" customFormat="1" ht="14.25" customHeight="1">
      <c r="A14" s="888"/>
      <c r="B14" s="894"/>
      <c r="C14" s="569"/>
      <c r="D14" s="315" t="s">
        <v>32</v>
      </c>
      <c r="E14" s="300">
        <f>+E16+E86</f>
        <v>1576044.9900000005</v>
      </c>
      <c r="F14" s="300">
        <f>+F16+F86</f>
        <v>1591673.6</v>
      </c>
      <c r="G14" s="300">
        <f>+G16+G86</f>
        <v>1615907.1999999997</v>
      </c>
      <c r="H14" s="300">
        <f t="shared" si="1"/>
        <v>24233.599999999627</v>
      </c>
      <c r="I14" s="300">
        <f t="shared" si="0"/>
        <v>39862.209999999264</v>
      </c>
      <c r="J14" s="300"/>
      <c r="K14" s="300">
        <f>+K16+K86</f>
        <v>1621498.3999999997</v>
      </c>
      <c r="L14" s="300">
        <f>+L16+L86</f>
        <v>1636718.7999999996</v>
      </c>
    </row>
    <row r="15" spans="1:12" s="299" customFormat="1" ht="14.25" customHeight="1">
      <c r="A15" s="888"/>
      <c r="B15" s="894"/>
      <c r="C15" s="570"/>
      <c r="D15" s="17" t="s">
        <v>369</v>
      </c>
      <c r="E15" s="175"/>
      <c r="F15" s="175"/>
      <c r="G15" s="175"/>
      <c r="H15" s="175"/>
      <c r="I15" s="175"/>
      <c r="J15" s="175"/>
      <c r="K15" s="175"/>
      <c r="L15" s="175"/>
    </row>
    <row r="16" spans="1:12" s="299" customFormat="1" ht="14.25" customHeight="1">
      <c r="A16" s="888"/>
      <c r="B16" s="894"/>
      <c r="C16" s="571"/>
      <c r="D16" s="309" t="s">
        <v>35</v>
      </c>
      <c r="E16" s="300">
        <f>E18+SUM(E24:E84)-E24-E29-E37-E51-E56-E75</f>
        <v>1566694.7400000005</v>
      </c>
      <c r="F16" s="300">
        <f>F18+SUM(F24:F84)-F24-F29-F37-F51-F56-F75</f>
        <v>1585730.6</v>
      </c>
      <c r="G16" s="300">
        <f>G18+SUM(G24:G84)-G24-G29-G37-G51-G56-G75</f>
        <v>1588937.4999999998</v>
      </c>
      <c r="H16" s="300">
        <f>+G16-F16</f>
        <v>3206.899999999674</v>
      </c>
      <c r="I16" s="300">
        <f>G16-E16</f>
        <v>22242.75999999931</v>
      </c>
      <c r="J16" s="300"/>
      <c r="K16" s="300">
        <f>K18+SUM(K24:K84)-K24-K29-K37-K51-K56-K75</f>
        <v>1611498.3999999997</v>
      </c>
      <c r="L16" s="300">
        <f>L18+SUM(L24:L84)-L24-L29-L37-L51-L56-L75</f>
        <v>1626718.7999999996</v>
      </c>
    </row>
    <row r="17" spans="1:12" s="299" customFormat="1" ht="13.5" customHeight="1">
      <c r="A17" s="888"/>
      <c r="B17" s="894"/>
      <c r="C17" s="567"/>
      <c r="D17" s="307" t="s">
        <v>69</v>
      </c>
      <c r="E17" s="298"/>
      <c r="F17" s="298"/>
      <c r="G17" s="175"/>
      <c r="H17" s="175">
        <f>+G17-F17</f>
        <v>0</v>
      </c>
      <c r="I17" s="175">
        <f>G17-E17</f>
        <v>0</v>
      </c>
      <c r="J17" s="298"/>
      <c r="K17" s="175"/>
      <c r="L17" s="175"/>
    </row>
    <row r="18" spans="1:12" s="299" customFormat="1" ht="14.25">
      <c r="A18" s="888"/>
      <c r="B18" s="894"/>
      <c r="C18" s="572"/>
      <c r="D18" s="520" t="s">
        <v>432</v>
      </c>
      <c r="E18" s="521">
        <f>SUM(E20:E23)</f>
        <v>1378830.6300000001</v>
      </c>
      <c r="F18" s="687">
        <f>SUM(F20:F23)</f>
        <v>1298439.4000000001</v>
      </c>
      <c r="G18" s="687">
        <f>SUM(G20:G23)</f>
        <v>1280606</v>
      </c>
      <c r="H18" s="521">
        <f>+G18-F18</f>
        <v>-17833.40000000014</v>
      </c>
      <c r="I18" s="521">
        <f>G18-E18</f>
        <v>-98224.63000000012</v>
      </c>
      <c r="J18" s="521"/>
      <c r="K18" s="687">
        <f>SUM(K20:K23)</f>
        <v>1303166.9000000001</v>
      </c>
      <c r="L18" s="687">
        <f>SUM(L20:L23)</f>
        <v>1318387.2999999998</v>
      </c>
    </row>
    <row r="19" spans="1:12" s="299" customFormat="1" ht="13.5">
      <c r="A19" s="578"/>
      <c r="B19" s="576"/>
      <c r="C19" s="567"/>
      <c r="D19" s="307" t="s">
        <v>69</v>
      </c>
      <c r="E19" s="298"/>
      <c r="F19" s="298"/>
      <c r="G19" s="175"/>
      <c r="H19" s="175">
        <f t="shared" si="1"/>
        <v>0</v>
      </c>
      <c r="I19" s="298">
        <f t="shared" si="0"/>
        <v>0</v>
      </c>
      <c r="J19" s="298"/>
      <c r="K19" s="175"/>
      <c r="L19" s="175"/>
    </row>
    <row r="20" spans="1:12" s="299" customFormat="1" ht="81.75" customHeight="1">
      <c r="A20" s="578"/>
      <c r="B20" s="576"/>
      <c r="C20" s="573" t="s">
        <v>269</v>
      </c>
      <c r="D20" s="310" t="s">
        <v>36</v>
      </c>
      <c r="E20" s="298">
        <v>1007697.86</v>
      </c>
      <c r="F20" s="298">
        <v>1011495.5</v>
      </c>
      <c r="G20" s="298">
        <v>996115.3</v>
      </c>
      <c r="H20" s="298">
        <f t="shared" si="1"/>
        <v>-15380.199999999953</v>
      </c>
      <c r="I20" s="298">
        <f t="shared" si="0"/>
        <v>-11582.55999999994</v>
      </c>
      <c r="J20" s="841" t="s">
        <v>993</v>
      </c>
      <c r="K20" s="298">
        <v>1013662.3</v>
      </c>
      <c r="L20" s="298">
        <v>1025492.4</v>
      </c>
    </row>
    <row r="21" spans="1:12" s="302" customFormat="1" ht="28.5">
      <c r="A21" s="578"/>
      <c r="B21" s="576"/>
      <c r="C21" s="573" t="s">
        <v>270</v>
      </c>
      <c r="D21" s="311" t="s">
        <v>37</v>
      </c>
      <c r="E21" s="298">
        <v>287941.17</v>
      </c>
      <c r="F21" s="298">
        <v>201919.6</v>
      </c>
      <c r="G21" s="298">
        <v>200619.5</v>
      </c>
      <c r="H21" s="298">
        <f t="shared" si="1"/>
        <v>-1300.1000000000058</v>
      </c>
      <c r="I21" s="298">
        <f t="shared" si="0"/>
        <v>-87321.66999999998</v>
      </c>
      <c r="J21" s="298"/>
      <c r="K21" s="298">
        <v>203961.8</v>
      </c>
      <c r="L21" s="298">
        <v>206222</v>
      </c>
    </row>
    <row r="22" spans="1:12" s="302" customFormat="1" ht="42.75">
      <c r="A22" s="578"/>
      <c r="B22" s="576"/>
      <c r="C22" s="573" t="s">
        <v>271</v>
      </c>
      <c r="D22" s="311" t="s">
        <v>38</v>
      </c>
      <c r="E22" s="298">
        <v>83191.6</v>
      </c>
      <c r="F22" s="298">
        <v>85024.3</v>
      </c>
      <c r="G22" s="298">
        <v>83871.2</v>
      </c>
      <c r="H22" s="298">
        <f>+G22-F22</f>
        <v>-1153.1000000000058</v>
      </c>
      <c r="I22" s="298">
        <f>G22-E22</f>
        <v>679.5999999999913</v>
      </c>
      <c r="J22" s="298"/>
      <c r="K22" s="298">
        <v>85542.8</v>
      </c>
      <c r="L22" s="298">
        <v>86672.9</v>
      </c>
    </row>
    <row r="23" spans="1:12" s="302" customFormat="1" ht="27" customHeight="1">
      <c r="A23" s="578"/>
      <c r="B23" s="576"/>
      <c r="C23" s="573" t="s">
        <v>554</v>
      </c>
      <c r="D23" s="311" t="s">
        <v>555</v>
      </c>
      <c r="E23" s="298"/>
      <c r="F23" s="298"/>
      <c r="G23" s="298"/>
      <c r="H23" s="298">
        <f>+G23-F23</f>
        <v>0</v>
      </c>
      <c r="I23" s="298">
        <f>G23-E23</f>
        <v>0</v>
      </c>
      <c r="J23" s="298"/>
      <c r="K23" s="298"/>
      <c r="L23" s="298"/>
    </row>
    <row r="24" spans="1:12" s="302" customFormat="1" ht="39.75" customHeight="1">
      <c r="A24" s="578"/>
      <c r="B24" s="576"/>
      <c r="C24" s="574">
        <v>4212</v>
      </c>
      <c r="D24" s="520" t="s">
        <v>39</v>
      </c>
      <c r="E24" s="521">
        <f>E26+E27+E28</f>
        <v>21958.899999999998</v>
      </c>
      <c r="F24" s="521">
        <f>F26+F27+F28</f>
        <v>26476.2</v>
      </c>
      <c r="G24" s="521">
        <f>G26+G27+G28</f>
        <v>34872.3</v>
      </c>
      <c r="H24" s="521">
        <f t="shared" si="1"/>
        <v>8396.100000000002</v>
      </c>
      <c r="I24" s="521">
        <f t="shared" si="0"/>
        <v>12913.400000000005</v>
      </c>
      <c r="J24" s="687" t="s">
        <v>994</v>
      </c>
      <c r="K24" s="521">
        <f>K26+K27+K28</f>
        <v>34872.3</v>
      </c>
      <c r="L24" s="521">
        <f>L26+L27+L28</f>
        <v>34872.3</v>
      </c>
    </row>
    <row r="25" spans="1:12" s="302" customFormat="1" ht="13.5">
      <c r="A25" s="578"/>
      <c r="B25" s="576"/>
      <c r="C25" s="573"/>
      <c r="D25" s="307" t="s">
        <v>69</v>
      </c>
      <c r="E25" s="316"/>
      <c r="F25" s="316"/>
      <c r="G25" s="316"/>
      <c r="H25" s="316">
        <f t="shared" si="1"/>
        <v>0</v>
      </c>
      <c r="I25" s="316">
        <f t="shared" si="0"/>
        <v>0</v>
      </c>
      <c r="J25" s="316"/>
      <c r="K25" s="316"/>
      <c r="L25" s="316"/>
    </row>
    <row r="26" spans="1:12" s="302" customFormat="1" ht="13.5">
      <c r="A26" s="578"/>
      <c r="B26" s="576"/>
      <c r="C26" s="573"/>
      <c r="D26" s="307" t="s">
        <v>39</v>
      </c>
      <c r="E26" s="316">
        <v>19155.8</v>
      </c>
      <c r="F26" s="316">
        <v>23588.7</v>
      </c>
      <c r="G26" s="316">
        <v>32334.3</v>
      </c>
      <c r="H26" s="316">
        <f t="shared" si="1"/>
        <v>8745.599999999999</v>
      </c>
      <c r="I26" s="316">
        <f t="shared" si="0"/>
        <v>13178.5</v>
      </c>
      <c r="J26" s="316"/>
      <c r="K26" s="316">
        <v>32334.3</v>
      </c>
      <c r="L26" s="316">
        <v>32334.3</v>
      </c>
    </row>
    <row r="27" spans="1:12" s="302" customFormat="1" ht="27">
      <c r="A27" s="578"/>
      <c r="B27" s="576"/>
      <c r="C27" s="573"/>
      <c r="D27" s="307" t="s">
        <v>278</v>
      </c>
      <c r="E27" s="316"/>
      <c r="F27" s="316"/>
      <c r="G27" s="316"/>
      <c r="H27" s="316">
        <f t="shared" si="1"/>
        <v>0</v>
      </c>
      <c r="I27" s="316">
        <f t="shared" si="0"/>
        <v>0</v>
      </c>
      <c r="J27" s="316"/>
      <c r="K27" s="316"/>
      <c r="L27" s="316"/>
    </row>
    <row r="28" spans="1:12" s="302" customFormat="1" ht="13.5">
      <c r="A28" s="578"/>
      <c r="B28" s="576"/>
      <c r="C28" s="573"/>
      <c r="D28" s="307" t="s">
        <v>371</v>
      </c>
      <c r="E28" s="316">
        <v>2803.1</v>
      </c>
      <c r="F28" s="316">
        <v>2887.5</v>
      </c>
      <c r="G28" s="316">
        <v>2538</v>
      </c>
      <c r="H28" s="316">
        <f t="shared" si="1"/>
        <v>-349.5</v>
      </c>
      <c r="I28" s="316">
        <f t="shared" si="0"/>
        <v>-265.0999999999999</v>
      </c>
      <c r="J28" s="316"/>
      <c r="K28" s="316">
        <v>2538</v>
      </c>
      <c r="L28" s="316">
        <v>2538</v>
      </c>
    </row>
    <row r="29" spans="1:12" s="302" customFormat="1" ht="103.5" customHeight="1">
      <c r="A29" s="578"/>
      <c r="B29" s="576"/>
      <c r="C29" s="574">
        <v>4213</v>
      </c>
      <c r="D29" s="520" t="s">
        <v>40</v>
      </c>
      <c r="E29" s="521">
        <f>E31+E32</f>
        <v>537.35</v>
      </c>
      <c r="F29" s="521">
        <f>F31+F32</f>
        <v>459.5</v>
      </c>
      <c r="G29" s="521">
        <f>G31+G32</f>
        <v>459.5</v>
      </c>
      <c r="H29" s="521">
        <f t="shared" si="1"/>
        <v>0</v>
      </c>
      <c r="I29" s="521">
        <f t="shared" si="0"/>
        <v>-77.85000000000002</v>
      </c>
      <c r="J29" s="836" t="s">
        <v>995</v>
      </c>
      <c r="K29" s="521">
        <f>K31+K32</f>
        <v>459.5</v>
      </c>
      <c r="L29" s="521">
        <f>L31+L32</f>
        <v>459.5</v>
      </c>
    </row>
    <row r="30" spans="1:12" s="302" customFormat="1" ht="13.5">
      <c r="A30" s="578"/>
      <c r="B30" s="576"/>
      <c r="C30" s="573"/>
      <c r="D30" s="307" t="s">
        <v>69</v>
      </c>
      <c r="E30" s="316"/>
      <c r="F30" s="316"/>
      <c r="G30" s="316"/>
      <c r="H30" s="316">
        <f t="shared" si="1"/>
        <v>0</v>
      </c>
      <c r="I30" s="316">
        <f t="shared" si="0"/>
        <v>0</v>
      </c>
      <c r="J30" s="316"/>
      <c r="K30" s="316"/>
      <c r="L30" s="316"/>
    </row>
    <row r="31" spans="1:12" s="302" customFormat="1" ht="27">
      <c r="A31" s="578"/>
      <c r="B31" s="576"/>
      <c r="C31" s="573"/>
      <c r="D31" s="313" t="s">
        <v>41</v>
      </c>
      <c r="E31" s="316">
        <v>537.35</v>
      </c>
      <c r="F31" s="316">
        <v>153</v>
      </c>
      <c r="G31" s="316">
        <v>153</v>
      </c>
      <c r="H31" s="316">
        <f t="shared" si="1"/>
        <v>0</v>
      </c>
      <c r="I31" s="316">
        <f t="shared" si="0"/>
        <v>-384.35</v>
      </c>
      <c r="J31" s="316"/>
      <c r="K31" s="316">
        <v>153</v>
      </c>
      <c r="L31" s="316">
        <v>153</v>
      </c>
    </row>
    <row r="32" spans="1:12" s="302" customFormat="1" ht="27">
      <c r="A32" s="578"/>
      <c r="B32" s="576"/>
      <c r="C32" s="573"/>
      <c r="D32" s="313" t="s">
        <v>272</v>
      </c>
      <c r="E32" s="316"/>
      <c r="F32" s="316">
        <v>306.5</v>
      </c>
      <c r="G32" s="316">
        <v>306.5</v>
      </c>
      <c r="H32" s="316">
        <f t="shared" si="1"/>
        <v>0</v>
      </c>
      <c r="I32" s="316">
        <f t="shared" si="0"/>
        <v>306.5</v>
      </c>
      <c r="J32" s="316"/>
      <c r="K32" s="316">
        <v>306.5</v>
      </c>
      <c r="L32" s="316">
        <v>306.5</v>
      </c>
    </row>
    <row r="33" spans="1:12" s="302" customFormat="1" ht="40.5">
      <c r="A33" s="578"/>
      <c r="B33" s="576"/>
      <c r="C33" s="573">
        <v>4214</v>
      </c>
      <c r="D33" s="312" t="s">
        <v>42</v>
      </c>
      <c r="E33" s="316">
        <v>17023.18</v>
      </c>
      <c r="F33" s="316">
        <v>20068</v>
      </c>
      <c r="G33" s="316">
        <v>18544.2</v>
      </c>
      <c r="H33" s="316">
        <f t="shared" si="1"/>
        <v>-1523.7999999999993</v>
      </c>
      <c r="I33" s="316">
        <f t="shared" si="0"/>
        <v>1521.0200000000004</v>
      </c>
      <c r="J33" s="316" t="s">
        <v>996</v>
      </c>
      <c r="K33" s="316">
        <v>18544.2</v>
      </c>
      <c r="L33" s="316">
        <v>18544.2</v>
      </c>
    </row>
    <row r="34" spans="1:12" s="299" customFormat="1" ht="30" customHeight="1">
      <c r="A34" s="578"/>
      <c r="B34" s="576"/>
      <c r="C34" s="573">
        <v>4215</v>
      </c>
      <c r="D34" s="312" t="s">
        <v>43</v>
      </c>
      <c r="E34" s="316">
        <v>151</v>
      </c>
      <c r="F34" s="316">
        <v>250</v>
      </c>
      <c r="G34" s="316">
        <v>250</v>
      </c>
      <c r="H34" s="316">
        <f t="shared" si="1"/>
        <v>0</v>
      </c>
      <c r="I34" s="316">
        <f t="shared" si="0"/>
        <v>99</v>
      </c>
      <c r="J34" s="837" t="s">
        <v>997</v>
      </c>
      <c r="K34" s="316">
        <v>250</v>
      </c>
      <c r="L34" s="316">
        <v>250</v>
      </c>
    </row>
    <row r="35" spans="1:12" s="186" customFormat="1" ht="108" customHeight="1">
      <c r="A35" s="578"/>
      <c r="B35" s="576"/>
      <c r="C35" s="573">
        <v>4216</v>
      </c>
      <c r="D35" s="312" t="s">
        <v>44</v>
      </c>
      <c r="E35" s="316">
        <v>351</v>
      </c>
      <c r="F35" s="316">
        <v>521.9</v>
      </c>
      <c r="G35" s="316">
        <v>521.9</v>
      </c>
      <c r="H35" s="316">
        <f t="shared" si="1"/>
        <v>0</v>
      </c>
      <c r="I35" s="316">
        <f t="shared" si="0"/>
        <v>170.89999999999998</v>
      </c>
      <c r="J35" s="838" t="s">
        <v>1011</v>
      </c>
      <c r="K35" s="316">
        <v>521.9</v>
      </c>
      <c r="L35" s="316">
        <v>521.9</v>
      </c>
    </row>
    <row r="36" spans="1:12" s="186" customFormat="1" ht="14.25">
      <c r="A36" s="578"/>
      <c r="B36" s="576"/>
      <c r="C36" s="573">
        <v>4217</v>
      </c>
      <c r="D36" s="312" t="s">
        <v>45</v>
      </c>
      <c r="E36" s="316"/>
      <c r="F36" s="316"/>
      <c r="G36" s="316"/>
      <c r="H36" s="316">
        <f t="shared" si="1"/>
        <v>0</v>
      </c>
      <c r="I36" s="316">
        <f t="shared" si="0"/>
        <v>0</v>
      </c>
      <c r="J36" s="316"/>
      <c r="K36" s="316"/>
      <c r="L36" s="316"/>
    </row>
    <row r="37" spans="1:12" s="186" customFormat="1" ht="40.5">
      <c r="A37" s="578"/>
      <c r="B37" s="576"/>
      <c r="C37" s="574"/>
      <c r="D37" s="520" t="s">
        <v>390</v>
      </c>
      <c r="E37" s="521">
        <f>E39+E40</f>
        <v>548.7</v>
      </c>
      <c r="F37" s="521">
        <f>F39+F40</f>
        <v>6900</v>
      </c>
      <c r="G37" s="521">
        <f>G39+G40</f>
        <v>6900</v>
      </c>
      <c r="H37" s="521">
        <f t="shared" si="1"/>
        <v>0</v>
      </c>
      <c r="I37" s="521">
        <f t="shared" si="0"/>
        <v>6351.3</v>
      </c>
      <c r="J37" s="687" t="s">
        <v>998</v>
      </c>
      <c r="K37" s="521">
        <f>K39+K40</f>
        <v>6900</v>
      </c>
      <c r="L37" s="521">
        <f>L39+L40</f>
        <v>6900</v>
      </c>
    </row>
    <row r="38" spans="1:12" s="186" customFormat="1" ht="13.5">
      <c r="A38" s="578"/>
      <c r="B38" s="576"/>
      <c r="C38" s="573"/>
      <c r="D38" s="307" t="s">
        <v>69</v>
      </c>
      <c r="E38" s="175"/>
      <c r="F38" s="175"/>
      <c r="G38" s="175"/>
      <c r="H38" s="175">
        <f t="shared" si="1"/>
        <v>0</v>
      </c>
      <c r="I38" s="175">
        <f t="shared" si="0"/>
        <v>0</v>
      </c>
      <c r="J38" s="175"/>
      <c r="K38" s="175"/>
      <c r="L38" s="175"/>
    </row>
    <row r="39" spans="1:12" s="186" customFormat="1" ht="13.5">
      <c r="A39" s="578"/>
      <c r="B39" s="576"/>
      <c r="C39" s="573">
        <v>4221</v>
      </c>
      <c r="D39" s="307" t="s">
        <v>46</v>
      </c>
      <c r="E39" s="175">
        <v>548.7</v>
      </c>
      <c r="F39" s="175">
        <v>6900</v>
      </c>
      <c r="G39" s="175">
        <v>6900</v>
      </c>
      <c r="H39" s="175">
        <f t="shared" si="1"/>
        <v>0</v>
      </c>
      <c r="I39" s="175">
        <f t="shared" si="0"/>
        <v>6351.3</v>
      </c>
      <c r="J39" s="175"/>
      <c r="K39" s="175">
        <v>6900</v>
      </c>
      <c r="L39" s="175">
        <v>6900</v>
      </c>
    </row>
    <row r="40" spans="1:12" s="186" customFormat="1" ht="27">
      <c r="A40" s="578"/>
      <c r="B40" s="576"/>
      <c r="C40" s="573">
        <v>4222</v>
      </c>
      <c r="D40" s="307" t="s">
        <v>47</v>
      </c>
      <c r="E40" s="175"/>
      <c r="F40" s="175"/>
      <c r="G40" s="175"/>
      <c r="H40" s="175">
        <f t="shared" si="1"/>
        <v>0</v>
      </c>
      <c r="I40" s="175">
        <f t="shared" si="0"/>
        <v>0</v>
      </c>
      <c r="J40" s="175"/>
      <c r="K40" s="175"/>
      <c r="L40" s="175"/>
    </row>
    <row r="41" spans="1:12" s="302" customFormat="1" ht="229.5" customHeight="1">
      <c r="A41" s="578"/>
      <c r="B41" s="576"/>
      <c r="C41" s="573">
        <v>4231</v>
      </c>
      <c r="D41" s="308" t="s">
        <v>48</v>
      </c>
      <c r="E41" s="175">
        <v>736.8</v>
      </c>
      <c r="F41" s="175">
        <v>1520</v>
      </c>
      <c r="G41" s="175">
        <v>1520</v>
      </c>
      <c r="H41" s="175">
        <f t="shared" si="1"/>
        <v>0</v>
      </c>
      <c r="I41" s="175">
        <f t="shared" si="0"/>
        <v>783.2</v>
      </c>
      <c r="J41" s="838" t="s">
        <v>999</v>
      </c>
      <c r="K41" s="175">
        <v>1520</v>
      </c>
      <c r="L41" s="175">
        <v>1520</v>
      </c>
    </row>
    <row r="42" spans="1:12" s="302" customFormat="1" ht="234" customHeight="1">
      <c r="A42" s="578"/>
      <c r="B42" s="576"/>
      <c r="C42" s="573">
        <v>4232</v>
      </c>
      <c r="D42" s="308" t="s">
        <v>49</v>
      </c>
      <c r="E42" s="175">
        <v>103392.49</v>
      </c>
      <c r="F42" s="298">
        <v>183843</v>
      </c>
      <c r="G42" s="175">
        <v>189538</v>
      </c>
      <c r="H42" s="175">
        <f t="shared" si="1"/>
        <v>5695</v>
      </c>
      <c r="I42" s="175">
        <f>G42-E42</f>
        <v>86145.51</v>
      </c>
      <c r="J42" s="838" t="s">
        <v>1146</v>
      </c>
      <c r="K42" s="175">
        <v>189538</v>
      </c>
      <c r="L42" s="175">
        <v>189538</v>
      </c>
    </row>
    <row r="43" spans="1:12" s="302" customFormat="1" ht="28.5">
      <c r="A43" s="578"/>
      <c r="B43" s="576"/>
      <c r="C43" s="573">
        <v>4233</v>
      </c>
      <c r="D43" s="308" t="s">
        <v>365</v>
      </c>
      <c r="E43" s="175">
        <v>759</v>
      </c>
      <c r="F43" s="175"/>
      <c r="G43" s="175">
        <v>902</v>
      </c>
      <c r="H43" s="175">
        <f t="shared" si="1"/>
        <v>902</v>
      </c>
      <c r="I43" s="175">
        <f aca="true" t="shared" si="2" ref="I43:I76">G43-E43</f>
        <v>143</v>
      </c>
      <c r="J43" s="553"/>
      <c r="K43" s="175">
        <v>902</v>
      </c>
      <c r="L43" s="175">
        <v>902</v>
      </c>
    </row>
    <row r="44" spans="1:12" s="302" customFormat="1" ht="18.75" customHeight="1">
      <c r="A44" s="578"/>
      <c r="B44" s="576"/>
      <c r="C44" s="573">
        <v>4234</v>
      </c>
      <c r="D44" s="308" t="s">
        <v>50</v>
      </c>
      <c r="E44" s="316"/>
      <c r="F44" s="316">
        <v>698.8</v>
      </c>
      <c r="G44" s="316">
        <v>698.8</v>
      </c>
      <c r="H44" s="316">
        <f t="shared" si="1"/>
        <v>0</v>
      </c>
      <c r="I44" s="316">
        <f t="shared" si="2"/>
        <v>698.8</v>
      </c>
      <c r="J44" s="316"/>
      <c r="K44" s="316">
        <v>698.8</v>
      </c>
      <c r="L44" s="316">
        <v>698.8</v>
      </c>
    </row>
    <row r="45" spans="1:12" s="299" customFormat="1" ht="18.75" customHeight="1">
      <c r="A45" s="578"/>
      <c r="B45" s="576"/>
      <c r="C45" s="573">
        <v>4235</v>
      </c>
      <c r="D45" s="308" t="s">
        <v>51</v>
      </c>
      <c r="E45" s="316"/>
      <c r="F45" s="316"/>
      <c r="G45" s="316"/>
      <c r="H45" s="316">
        <f t="shared" si="1"/>
        <v>0</v>
      </c>
      <c r="I45" s="316">
        <f t="shared" si="2"/>
        <v>0</v>
      </c>
      <c r="J45" s="316"/>
      <c r="K45" s="316"/>
      <c r="L45" s="316"/>
    </row>
    <row r="46" spans="1:12" s="302" customFormat="1" ht="28.5">
      <c r="A46" s="578"/>
      <c r="B46" s="576"/>
      <c r="C46" s="573">
        <v>4236</v>
      </c>
      <c r="D46" s="308" t="s">
        <v>52</v>
      </c>
      <c r="E46" s="316"/>
      <c r="F46" s="316"/>
      <c r="G46" s="316"/>
      <c r="H46" s="316">
        <f t="shared" si="1"/>
        <v>0</v>
      </c>
      <c r="I46" s="316">
        <f t="shared" si="2"/>
        <v>0</v>
      </c>
      <c r="J46" s="316"/>
      <c r="K46" s="316"/>
      <c r="L46" s="316"/>
    </row>
    <row r="47" spans="1:12" s="299" customFormat="1" ht="18.75" customHeight="1">
      <c r="A47" s="578"/>
      <c r="B47" s="576"/>
      <c r="C47" s="573">
        <v>4237</v>
      </c>
      <c r="D47" s="308" t="s">
        <v>53</v>
      </c>
      <c r="E47" s="316">
        <v>3571.12</v>
      </c>
      <c r="F47" s="316">
        <v>4500</v>
      </c>
      <c r="G47" s="316">
        <v>4500</v>
      </c>
      <c r="H47" s="316">
        <f t="shared" si="1"/>
        <v>0</v>
      </c>
      <c r="I47" s="316">
        <f t="shared" si="2"/>
        <v>928.8800000000001</v>
      </c>
      <c r="J47" s="316"/>
      <c r="K47" s="316">
        <v>4500</v>
      </c>
      <c r="L47" s="316">
        <v>4500</v>
      </c>
    </row>
    <row r="48" spans="1:12" s="299" customFormat="1" ht="76.5" customHeight="1">
      <c r="A48" s="578"/>
      <c r="B48" s="576"/>
      <c r="C48" s="573">
        <v>4239</v>
      </c>
      <c r="D48" s="306" t="s">
        <v>54</v>
      </c>
      <c r="E48" s="298">
        <v>13005</v>
      </c>
      <c r="F48" s="298">
        <v>15470</v>
      </c>
      <c r="G48" s="298">
        <v>22470</v>
      </c>
      <c r="H48" s="298">
        <f t="shared" si="1"/>
        <v>7000</v>
      </c>
      <c r="I48" s="298">
        <f t="shared" si="2"/>
        <v>9465</v>
      </c>
      <c r="J48" s="11" t="s">
        <v>1149</v>
      </c>
      <c r="K48" s="298">
        <v>22470</v>
      </c>
      <c r="L48" s="298">
        <v>22470</v>
      </c>
    </row>
    <row r="49" spans="1:12" s="299" customFormat="1" ht="30.75" customHeight="1">
      <c r="A49" s="578"/>
      <c r="B49" s="576"/>
      <c r="C49" s="573">
        <v>4241</v>
      </c>
      <c r="D49" s="308" t="s">
        <v>55</v>
      </c>
      <c r="E49" s="316">
        <v>388.79</v>
      </c>
      <c r="F49" s="316">
        <v>300</v>
      </c>
      <c r="G49" s="316">
        <v>300</v>
      </c>
      <c r="H49" s="316">
        <f t="shared" si="1"/>
        <v>0</v>
      </c>
      <c r="I49" s="316">
        <f t="shared" si="2"/>
        <v>-88.79000000000002</v>
      </c>
      <c r="J49" s="313" t="s">
        <v>1000</v>
      </c>
      <c r="K49" s="316">
        <v>300</v>
      </c>
      <c r="L49" s="316">
        <v>300</v>
      </c>
    </row>
    <row r="50" spans="1:12" s="299" customFormat="1" ht="28.5">
      <c r="A50" s="578"/>
      <c r="B50" s="576"/>
      <c r="C50" s="573">
        <v>4251</v>
      </c>
      <c r="D50" s="306" t="s">
        <v>56</v>
      </c>
      <c r="E50" s="298">
        <v>6349.29</v>
      </c>
      <c r="F50" s="298"/>
      <c r="G50" s="298"/>
      <c r="H50" s="298">
        <f t="shared" si="1"/>
        <v>0</v>
      </c>
      <c r="I50" s="298">
        <f t="shared" si="2"/>
        <v>-6349.29</v>
      </c>
      <c r="J50" s="298"/>
      <c r="K50" s="298"/>
      <c r="L50" s="298"/>
    </row>
    <row r="51" spans="1:12" s="299" customFormat="1" ht="58.5" customHeight="1">
      <c r="A51" s="578"/>
      <c r="B51" s="576"/>
      <c r="C51" s="574">
        <v>4252</v>
      </c>
      <c r="D51" s="520" t="s">
        <v>57</v>
      </c>
      <c r="E51" s="521">
        <f>E53+E54</f>
        <v>1249.75</v>
      </c>
      <c r="F51" s="521">
        <f>F53+F54+F55</f>
        <v>1667</v>
      </c>
      <c r="G51" s="687">
        <f>G53+G54+G55</f>
        <v>1667</v>
      </c>
      <c r="H51" s="521">
        <f t="shared" si="1"/>
        <v>0</v>
      </c>
      <c r="I51" s="521">
        <f t="shared" si="2"/>
        <v>417.25</v>
      </c>
      <c r="J51" s="839" t="s">
        <v>1001</v>
      </c>
      <c r="K51" s="521">
        <f>K53+K54+K55</f>
        <v>1667</v>
      </c>
      <c r="L51" s="687">
        <f>L53+L54+L55</f>
        <v>1667</v>
      </c>
    </row>
    <row r="52" spans="1:12" s="299" customFormat="1" ht="13.5">
      <c r="A52" s="578"/>
      <c r="B52" s="576"/>
      <c r="C52" s="573"/>
      <c r="D52" s="307" t="s">
        <v>69</v>
      </c>
      <c r="E52" s="298"/>
      <c r="F52" s="298"/>
      <c r="G52" s="298"/>
      <c r="H52" s="298">
        <f t="shared" si="1"/>
        <v>0</v>
      </c>
      <c r="I52" s="298">
        <f t="shared" si="2"/>
        <v>0</v>
      </c>
      <c r="J52" s="298"/>
      <c r="K52" s="298"/>
      <c r="L52" s="298"/>
    </row>
    <row r="53" spans="1:12" s="302" customFormat="1" ht="40.5">
      <c r="A53" s="578"/>
      <c r="B53" s="576"/>
      <c r="C53" s="573"/>
      <c r="D53" s="11" t="s">
        <v>1045</v>
      </c>
      <c r="E53" s="298">
        <v>1249.75</v>
      </c>
      <c r="F53" s="865">
        <v>821</v>
      </c>
      <c r="G53" s="298">
        <v>821</v>
      </c>
      <c r="H53" s="298">
        <f t="shared" si="1"/>
        <v>0</v>
      </c>
      <c r="I53" s="298">
        <f t="shared" si="2"/>
        <v>-428.75</v>
      </c>
      <c r="J53" s="298"/>
      <c r="K53" s="298"/>
      <c r="L53" s="298"/>
    </row>
    <row r="54" spans="1:12" s="302" customFormat="1" ht="27">
      <c r="A54" s="578"/>
      <c r="B54" s="576"/>
      <c r="C54" s="573"/>
      <c r="D54" s="11" t="s">
        <v>1044</v>
      </c>
      <c r="E54" s="298"/>
      <c r="F54" s="865">
        <v>846</v>
      </c>
      <c r="G54" s="865">
        <v>846</v>
      </c>
      <c r="H54" s="298">
        <f t="shared" si="1"/>
        <v>0</v>
      </c>
      <c r="I54" s="298">
        <f t="shared" si="2"/>
        <v>846</v>
      </c>
      <c r="J54" s="298"/>
      <c r="K54" s="865">
        <v>846</v>
      </c>
      <c r="L54" s="865">
        <v>846</v>
      </c>
    </row>
    <row r="55" spans="1:12" s="302" customFormat="1" ht="27">
      <c r="A55" s="578"/>
      <c r="B55" s="576"/>
      <c r="C55" s="573"/>
      <c r="D55" s="11" t="s">
        <v>1046</v>
      </c>
      <c r="E55" s="298"/>
      <c r="F55" s="865"/>
      <c r="G55" s="865"/>
      <c r="H55" s="298"/>
      <c r="I55" s="298"/>
      <c r="J55" s="298"/>
      <c r="K55" s="865">
        <v>821</v>
      </c>
      <c r="L55" s="865">
        <v>821</v>
      </c>
    </row>
    <row r="56" spans="1:12" s="302" customFormat="1" ht="14.25">
      <c r="A56" s="578"/>
      <c r="B56" s="576"/>
      <c r="C56" s="574">
        <v>4261</v>
      </c>
      <c r="D56" s="520" t="s">
        <v>58</v>
      </c>
      <c r="E56" s="521">
        <f>E58+E59</f>
        <v>9215.39</v>
      </c>
      <c r="F56" s="521">
        <f>F58+F59</f>
        <v>13943.9</v>
      </c>
      <c r="G56" s="521">
        <f>G58+G59</f>
        <v>14181.6</v>
      </c>
      <c r="H56" s="521">
        <f t="shared" si="1"/>
        <v>237.70000000000073</v>
      </c>
      <c r="I56" s="521">
        <f t="shared" si="2"/>
        <v>4966.210000000001</v>
      </c>
      <c r="J56" s="521"/>
      <c r="K56" s="521">
        <f>K58+K59</f>
        <v>14181.6</v>
      </c>
      <c r="L56" s="521">
        <f>L58+L59</f>
        <v>14181.6</v>
      </c>
    </row>
    <row r="57" spans="1:12" s="302" customFormat="1" ht="13.5">
      <c r="A57" s="578"/>
      <c r="B57" s="576"/>
      <c r="C57" s="573"/>
      <c r="D57" s="307" t="s">
        <v>69</v>
      </c>
      <c r="E57" s="316"/>
      <c r="F57" s="316"/>
      <c r="G57" s="316"/>
      <c r="H57" s="316">
        <f t="shared" si="1"/>
        <v>0</v>
      </c>
      <c r="I57" s="316">
        <f t="shared" si="2"/>
        <v>0</v>
      </c>
      <c r="J57" s="316"/>
      <c r="K57" s="316"/>
      <c r="L57" s="316"/>
    </row>
    <row r="58" spans="1:12" s="302" customFormat="1" ht="13.5">
      <c r="A58" s="578"/>
      <c r="B58" s="576"/>
      <c r="C58" s="573"/>
      <c r="D58" s="307" t="s">
        <v>59</v>
      </c>
      <c r="E58" s="316">
        <v>9215.39</v>
      </c>
      <c r="F58" s="316">
        <v>13943.9</v>
      </c>
      <c r="G58" s="316">
        <v>14181.6</v>
      </c>
      <c r="H58" s="316">
        <f t="shared" si="1"/>
        <v>237.70000000000073</v>
      </c>
      <c r="I58" s="316">
        <f t="shared" si="2"/>
        <v>4966.210000000001</v>
      </c>
      <c r="J58" s="316"/>
      <c r="K58" s="316">
        <v>14181.6</v>
      </c>
      <c r="L58" s="316">
        <v>14181.6</v>
      </c>
    </row>
    <row r="59" spans="1:12" s="302" customFormat="1" ht="13.5">
      <c r="A59" s="578"/>
      <c r="B59" s="576"/>
      <c r="C59" s="573"/>
      <c r="D59" s="307" t="s">
        <v>60</v>
      </c>
      <c r="E59" s="316"/>
      <c r="F59" s="316"/>
      <c r="G59" s="316"/>
      <c r="H59" s="316">
        <f t="shared" si="1"/>
        <v>0</v>
      </c>
      <c r="I59" s="316">
        <f t="shared" si="2"/>
        <v>0</v>
      </c>
      <c r="J59" s="316"/>
      <c r="K59" s="316"/>
      <c r="L59" s="316"/>
    </row>
    <row r="60" spans="1:12" s="302" customFormat="1" ht="14.25">
      <c r="A60" s="578"/>
      <c r="B60" s="576"/>
      <c r="C60" s="573">
        <v>4262</v>
      </c>
      <c r="D60" s="308" t="s">
        <v>330</v>
      </c>
      <c r="E60" s="316"/>
      <c r="F60" s="316"/>
      <c r="G60" s="316"/>
      <c r="H60" s="316">
        <f t="shared" si="1"/>
        <v>0</v>
      </c>
      <c r="I60" s="316">
        <f t="shared" si="2"/>
        <v>0</v>
      </c>
      <c r="J60" s="316"/>
      <c r="K60" s="316"/>
      <c r="L60" s="316"/>
    </row>
    <row r="61" spans="1:12" s="302" customFormat="1" ht="112.5" customHeight="1">
      <c r="A61" s="578"/>
      <c r="B61" s="576"/>
      <c r="C61" s="573">
        <v>4264</v>
      </c>
      <c r="D61" s="308" t="s">
        <v>329</v>
      </c>
      <c r="E61" s="316">
        <v>1312</v>
      </c>
      <c r="F61" s="316">
        <v>3910</v>
      </c>
      <c r="G61" s="316">
        <v>3910</v>
      </c>
      <c r="H61" s="316">
        <f t="shared" si="1"/>
        <v>0</v>
      </c>
      <c r="I61" s="316">
        <f t="shared" si="2"/>
        <v>2598</v>
      </c>
      <c r="J61" s="316" t="s">
        <v>1147</v>
      </c>
      <c r="K61" s="316">
        <v>3910</v>
      </c>
      <c r="L61" s="316">
        <v>3910</v>
      </c>
    </row>
    <row r="62" spans="1:12" s="302" customFormat="1" ht="22.5" customHeight="1">
      <c r="A62" s="578"/>
      <c r="B62" s="576"/>
      <c r="C62" s="573">
        <v>4266</v>
      </c>
      <c r="D62" s="308" t="s">
        <v>397</v>
      </c>
      <c r="E62" s="316">
        <v>725.29</v>
      </c>
      <c r="F62" s="316"/>
      <c r="G62" s="316"/>
      <c r="H62" s="316">
        <f t="shared" si="1"/>
        <v>0</v>
      </c>
      <c r="I62" s="316">
        <f t="shared" si="2"/>
        <v>-725.29</v>
      </c>
      <c r="J62" s="316"/>
      <c r="K62" s="316"/>
      <c r="L62" s="316"/>
    </row>
    <row r="63" spans="1:12" s="302" customFormat="1" ht="28.5">
      <c r="A63" s="578"/>
      <c r="B63" s="576"/>
      <c r="C63" s="573">
        <v>4267</v>
      </c>
      <c r="D63" s="308" t="s">
        <v>331</v>
      </c>
      <c r="E63" s="316">
        <v>473.74</v>
      </c>
      <c r="F63" s="316">
        <v>766.6</v>
      </c>
      <c r="G63" s="316">
        <v>1021.6</v>
      </c>
      <c r="H63" s="316">
        <f t="shared" si="1"/>
        <v>255</v>
      </c>
      <c r="I63" s="316">
        <f t="shared" si="2"/>
        <v>547.86</v>
      </c>
      <c r="J63" s="316"/>
      <c r="K63" s="316">
        <v>1021.6</v>
      </c>
      <c r="L63" s="316">
        <v>1021.6</v>
      </c>
    </row>
    <row r="64" spans="1:12" s="302" customFormat="1" ht="14.25">
      <c r="A64" s="578"/>
      <c r="B64" s="576"/>
      <c r="C64" s="573">
        <v>4269</v>
      </c>
      <c r="D64" s="308" t="s">
        <v>61</v>
      </c>
      <c r="E64" s="316">
        <v>186</v>
      </c>
      <c r="F64" s="316"/>
      <c r="G64" s="316"/>
      <c r="H64" s="316">
        <f t="shared" si="1"/>
        <v>0</v>
      </c>
      <c r="I64" s="316">
        <f t="shared" si="2"/>
        <v>-186</v>
      </c>
      <c r="J64" s="316"/>
      <c r="K64" s="316"/>
      <c r="L64" s="316"/>
    </row>
    <row r="65" spans="1:12" s="302" customFormat="1" ht="28.5">
      <c r="A65" s="578"/>
      <c r="B65" s="576"/>
      <c r="C65" s="573">
        <v>4511</v>
      </c>
      <c r="D65" s="306" t="s">
        <v>62</v>
      </c>
      <c r="E65" s="316"/>
      <c r="F65" s="316"/>
      <c r="G65" s="316"/>
      <c r="H65" s="316">
        <f t="shared" si="1"/>
        <v>0</v>
      </c>
      <c r="I65" s="316">
        <f t="shared" si="2"/>
        <v>0</v>
      </c>
      <c r="J65" s="316"/>
      <c r="K65" s="316"/>
      <c r="L65" s="316"/>
    </row>
    <row r="66" spans="1:12" s="304" customFormat="1" ht="82.5" customHeight="1">
      <c r="A66" s="578"/>
      <c r="B66" s="576"/>
      <c r="C66" s="573">
        <v>4621</v>
      </c>
      <c r="D66" s="306" t="s">
        <v>63</v>
      </c>
      <c r="E66" s="316">
        <v>5416.4</v>
      </c>
      <c r="F66" s="316">
        <v>5521.7</v>
      </c>
      <c r="G66" s="316">
        <v>5600</v>
      </c>
      <c r="H66" s="316">
        <f t="shared" si="1"/>
        <v>78.30000000000018</v>
      </c>
      <c r="I66" s="316">
        <f t="shared" si="2"/>
        <v>183.60000000000036</v>
      </c>
      <c r="J66" s="840" t="s">
        <v>1002</v>
      </c>
      <c r="K66" s="316">
        <v>5600</v>
      </c>
      <c r="L66" s="316">
        <v>5600</v>
      </c>
    </row>
    <row r="67" spans="1:12" s="304" customFormat="1" ht="28.5">
      <c r="A67" s="578"/>
      <c r="B67" s="576"/>
      <c r="C67" s="573">
        <v>4631</v>
      </c>
      <c r="D67" s="306" t="s">
        <v>364</v>
      </c>
      <c r="E67" s="316"/>
      <c r="F67" s="316"/>
      <c r="G67" s="316"/>
      <c r="H67" s="316">
        <f t="shared" si="1"/>
        <v>0</v>
      </c>
      <c r="I67" s="316">
        <f t="shared" si="2"/>
        <v>0</v>
      </c>
      <c r="J67" s="554"/>
      <c r="K67" s="316"/>
      <c r="L67" s="316"/>
    </row>
    <row r="68" spans="1:12" s="304" customFormat="1" ht="21.75" customHeight="1">
      <c r="A68" s="578"/>
      <c r="B68" s="576"/>
      <c r="C68" s="573">
        <v>4632</v>
      </c>
      <c r="D68" s="306" t="s">
        <v>276</v>
      </c>
      <c r="E68" s="316"/>
      <c r="F68" s="316"/>
      <c r="G68" s="316"/>
      <c r="H68" s="316">
        <f t="shared" si="1"/>
        <v>0</v>
      </c>
      <c r="I68" s="316">
        <f t="shared" si="2"/>
        <v>0</v>
      </c>
      <c r="J68" s="316"/>
      <c r="K68" s="316"/>
      <c r="L68" s="316"/>
    </row>
    <row r="69" spans="1:12" s="304" customFormat="1" ht="42" customHeight="1">
      <c r="A69" s="578"/>
      <c r="B69" s="576"/>
      <c r="C69" s="573" t="s">
        <v>446</v>
      </c>
      <c r="D69" s="306" t="s">
        <v>447</v>
      </c>
      <c r="E69" s="316"/>
      <c r="F69" s="316"/>
      <c r="G69" s="316"/>
      <c r="H69" s="316"/>
      <c r="I69" s="316"/>
      <c r="J69" s="316"/>
      <c r="K69" s="316"/>
      <c r="L69" s="316"/>
    </row>
    <row r="70" spans="1:12" s="304" customFormat="1" ht="48.75" customHeight="1">
      <c r="A70" s="578"/>
      <c r="B70" s="576"/>
      <c r="C70" s="573">
        <v>4638</v>
      </c>
      <c r="D70" s="306" t="s">
        <v>449</v>
      </c>
      <c r="E70" s="316"/>
      <c r="F70" s="316"/>
      <c r="G70" s="316"/>
      <c r="H70" s="316">
        <f t="shared" si="1"/>
        <v>0</v>
      </c>
      <c r="I70" s="316">
        <f t="shared" si="2"/>
        <v>0</v>
      </c>
      <c r="J70" s="316"/>
      <c r="K70" s="316"/>
      <c r="L70" s="316"/>
    </row>
    <row r="71" spans="1:12" s="304" customFormat="1" ht="23.25" customHeight="1">
      <c r="A71" s="578"/>
      <c r="B71" s="576"/>
      <c r="C71" s="573" t="s">
        <v>366</v>
      </c>
      <c r="D71" s="306" t="s">
        <v>367</v>
      </c>
      <c r="E71" s="316"/>
      <c r="F71" s="316"/>
      <c r="G71" s="316"/>
      <c r="H71" s="316">
        <f t="shared" si="1"/>
        <v>0</v>
      </c>
      <c r="I71" s="316">
        <f t="shared" si="2"/>
        <v>0</v>
      </c>
      <c r="J71" s="316"/>
      <c r="K71" s="316"/>
      <c r="L71" s="316"/>
    </row>
    <row r="72" spans="1:12" s="304" customFormat="1" ht="42.75">
      <c r="A72" s="578"/>
      <c r="B72" s="576"/>
      <c r="C72" s="573" t="s">
        <v>480</v>
      </c>
      <c r="D72" s="306" t="s">
        <v>481</v>
      </c>
      <c r="E72" s="316"/>
      <c r="F72" s="316"/>
      <c r="G72" s="316"/>
      <c r="H72" s="316">
        <f>+G72-F72</f>
        <v>0</v>
      </c>
      <c r="I72" s="316">
        <f>G72-E72</f>
        <v>0</v>
      </c>
      <c r="J72" s="316"/>
      <c r="K72" s="316"/>
      <c r="L72" s="316"/>
    </row>
    <row r="73" spans="1:12" s="304" customFormat="1" ht="21" customHeight="1">
      <c r="A73" s="578"/>
      <c r="B73" s="576"/>
      <c r="C73" s="573">
        <v>4729</v>
      </c>
      <c r="D73" s="308" t="s">
        <v>64</v>
      </c>
      <c r="E73" s="320"/>
      <c r="F73" s="320"/>
      <c r="G73" s="316"/>
      <c r="H73" s="316">
        <f t="shared" si="1"/>
        <v>0</v>
      </c>
      <c r="I73" s="316">
        <f t="shared" si="2"/>
        <v>0</v>
      </c>
      <c r="J73" s="320"/>
      <c r="K73" s="316"/>
      <c r="L73" s="316"/>
    </row>
    <row r="74" spans="1:12" s="304" customFormat="1" ht="22.5" customHeight="1">
      <c r="A74" s="578"/>
      <c r="B74" s="576"/>
      <c r="C74" s="573">
        <v>4822</v>
      </c>
      <c r="D74" s="308" t="s">
        <v>65</v>
      </c>
      <c r="E74" s="320"/>
      <c r="F74" s="320"/>
      <c r="G74" s="316"/>
      <c r="H74" s="316">
        <f t="shared" si="1"/>
        <v>0</v>
      </c>
      <c r="I74" s="316">
        <f t="shared" si="2"/>
        <v>0</v>
      </c>
      <c r="J74" s="320"/>
      <c r="K74" s="316"/>
      <c r="L74" s="316"/>
    </row>
    <row r="75" spans="1:12" s="304" customFormat="1" ht="37.5" customHeight="1">
      <c r="A75" s="578"/>
      <c r="B75" s="576"/>
      <c r="C75" s="574">
        <v>4823</v>
      </c>
      <c r="D75" s="520" t="s">
        <v>66</v>
      </c>
      <c r="E75" s="521">
        <f>E77+E78+E79</f>
        <v>470.92</v>
      </c>
      <c r="F75" s="521">
        <f>F77+F78+F79</f>
        <v>474.6</v>
      </c>
      <c r="G75" s="521">
        <f>G77+G78+G79</f>
        <v>474.6</v>
      </c>
      <c r="H75" s="521">
        <f t="shared" si="1"/>
        <v>0</v>
      </c>
      <c r="I75" s="521">
        <f t="shared" si="2"/>
        <v>3.680000000000007</v>
      </c>
      <c r="J75" s="687" t="s">
        <v>1003</v>
      </c>
      <c r="K75" s="521">
        <f>K77+K78+K79</f>
        <v>474.6</v>
      </c>
      <c r="L75" s="521">
        <f>L77+L78+L79</f>
        <v>474.6</v>
      </c>
    </row>
    <row r="76" spans="1:12" s="304" customFormat="1" ht="14.25">
      <c r="A76" s="578"/>
      <c r="B76" s="576"/>
      <c r="C76" s="573"/>
      <c r="D76" s="307" t="s">
        <v>69</v>
      </c>
      <c r="E76" s="320"/>
      <c r="F76" s="320"/>
      <c r="G76" s="316"/>
      <c r="H76" s="316">
        <f t="shared" si="1"/>
        <v>0</v>
      </c>
      <c r="I76" s="316">
        <f t="shared" si="2"/>
        <v>0</v>
      </c>
      <c r="J76" s="320"/>
      <c r="K76" s="316"/>
      <c r="L76" s="316"/>
    </row>
    <row r="77" spans="1:12" s="302" customFormat="1" ht="27">
      <c r="A77" s="578"/>
      <c r="B77" s="576"/>
      <c r="C77" s="573"/>
      <c r="D77" s="307" t="s">
        <v>275</v>
      </c>
      <c r="E77" s="320"/>
      <c r="F77" s="320"/>
      <c r="G77" s="316"/>
      <c r="H77" s="316">
        <f aca="true" t="shared" si="3" ref="H77:H92">+G77-F77</f>
        <v>0</v>
      </c>
      <c r="I77" s="316">
        <f aca="true" t="shared" si="4" ref="I77:I84">G77-E77</f>
        <v>0</v>
      </c>
      <c r="J77" s="320"/>
      <c r="K77" s="316"/>
      <c r="L77" s="316"/>
    </row>
    <row r="78" spans="1:12" ht="27.75" customHeight="1">
      <c r="A78" s="578"/>
      <c r="B78" s="576"/>
      <c r="C78" s="573"/>
      <c r="D78" s="307" t="s">
        <v>273</v>
      </c>
      <c r="E78" s="320">
        <v>470.92</v>
      </c>
      <c r="F78" s="320">
        <v>474.6</v>
      </c>
      <c r="G78" s="316">
        <v>474.6</v>
      </c>
      <c r="H78" s="316">
        <f t="shared" si="3"/>
        <v>0</v>
      </c>
      <c r="I78" s="316">
        <f t="shared" si="4"/>
        <v>3.680000000000007</v>
      </c>
      <c r="J78" s="320"/>
      <c r="K78" s="316">
        <v>474.6</v>
      </c>
      <c r="L78" s="316">
        <v>474.6</v>
      </c>
    </row>
    <row r="79" spans="1:12" ht="14.25">
      <c r="A79" s="578"/>
      <c r="B79" s="576"/>
      <c r="C79" s="573"/>
      <c r="D79" s="307" t="s">
        <v>274</v>
      </c>
      <c r="E79" s="320"/>
      <c r="F79" s="320"/>
      <c r="G79" s="316"/>
      <c r="H79" s="316">
        <f t="shared" si="3"/>
        <v>0</v>
      </c>
      <c r="I79" s="316">
        <f t="shared" si="4"/>
        <v>0</v>
      </c>
      <c r="J79" s="320"/>
      <c r="K79" s="316"/>
      <c r="L79" s="316"/>
    </row>
    <row r="80" spans="1:12" ht="31.5" customHeight="1">
      <c r="A80" s="578"/>
      <c r="B80" s="576"/>
      <c r="C80" s="573" t="s">
        <v>396</v>
      </c>
      <c r="D80" s="308" t="s">
        <v>408</v>
      </c>
      <c r="E80" s="320"/>
      <c r="F80" s="320"/>
      <c r="G80" s="316"/>
      <c r="H80" s="316">
        <f t="shared" si="3"/>
        <v>0</v>
      </c>
      <c r="I80" s="316">
        <f t="shared" si="4"/>
        <v>0</v>
      </c>
      <c r="J80" s="320"/>
      <c r="K80" s="316"/>
      <c r="L80" s="316"/>
    </row>
    <row r="81" spans="1:12" ht="31.5" customHeight="1">
      <c r="A81" s="578"/>
      <c r="B81" s="576"/>
      <c r="C81" s="573">
        <v>4831</v>
      </c>
      <c r="D81" s="306" t="s">
        <v>482</v>
      </c>
      <c r="E81" s="320">
        <v>42</v>
      </c>
      <c r="F81" s="320"/>
      <c r="G81" s="316"/>
      <c r="H81" s="316">
        <f>+G81-F81</f>
        <v>0</v>
      </c>
      <c r="I81" s="316">
        <f>G81-E81</f>
        <v>-42</v>
      </c>
      <c r="J81" s="320"/>
      <c r="K81" s="316"/>
      <c r="L81" s="316"/>
    </row>
    <row r="82" spans="1:12" ht="43.5" customHeight="1">
      <c r="A82" s="578"/>
      <c r="B82" s="576"/>
      <c r="C82" s="573">
        <v>4851</v>
      </c>
      <c r="D82" s="306" t="s">
        <v>483</v>
      </c>
      <c r="E82" s="320"/>
      <c r="F82" s="320"/>
      <c r="G82" s="316"/>
      <c r="H82" s="316">
        <f>+G82-F82</f>
        <v>0</v>
      </c>
      <c r="I82" s="316">
        <f>G82-E82</f>
        <v>0</v>
      </c>
      <c r="J82" s="320"/>
      <c r="K82" s="316"/>
      <c r="L82" s="316"/>
    </row>
    <row r="83" spans="1:12" s="317" customFormat="1" ht="19.5" customHeight="1">
      <c r="A83" s="578"/>
      <c r="B83" s="576"/>
      <c r="C83" s="573">
        <v>4861</v>
      </c>
      <c r="D83" s="308" t="s">
        <v>67</v>
      </c>
      <c r="E83" s="320"/>
      <c r="F83" s="320"/>
      <c r="G83" s="316"/>
      <c r="H83" s="316">
        <f t="shared" si="3"/>
        <v>0</v>
      </c>
      <c r="I83" s="316">
        <f t="shared" si="4"/>
        <v>0</v>
      </c>
      <c r="J83" s="320"/>
      <c r="K83" s="316"/>
      <c r="L83" s="316"/>
    </row>
    <row r="84" spans="1:12" ht="19.5" customHeight="1">
      <c r="A84" s="579"/>
      <c r="B84" s="577"/>
      <c r="C84" s="573">
        <v>4891</v>
      </c>
      <c r="D84" s="308" t="s">
        <v>68</v>
      </c>
      <c r="E84" s="316"/>
      <c r="F84" s="316"/>
      <c r="G84" s="316"/>
      <c r="H84" s="316">
        <f t="shared" si="3"/>
        <v>0</v>
      </c>
      <c r="I84" s="316">
        <f t="shared" si="4"/>
        <v>0</v>
      </c>
      <c r="J84" s="316"/>
      <c r="K84" s="316"/>
      <c r="L84" s="316"/>
    </row>
    <row r="85" spans="4:12" ht="9.75" customHeight="1">
      <c r="D85" s="519"/>
      <c r="E85" s="555"/>
      <c r="F85" s="555"/>
      <c r="G85" s="555"/>
      <c r="H85" s="555"/>
      <c r="I85" s="555"/>
      <c r="J85" s="555"/>
      <c r="K85" s="555"/>
      <c r="L85" s="555"/>
    </row>
    <row r="86" spans="1:12" s="29" customFormat="1" ht="28.5">
      <c r="A86" s="890" t="s">
        <v>401</v>
      </c>
      <c r="B86" s="890"/>
      <c r="C86" s="318"/>
      <c r="D86" s="38" t="s">
        <v>70</v>
      </c>
      <c r="E86" s="28">
        <f>SUM(E88:E92)</f>
        <v>9350.25</v>
      </c>
      <c r="F86" s="28">
        <f>SUM(F88:F92)</f>
        <v>5943</v>
      </c>
      <c r="G86" s="28">
        <f>SUM(G88:G92)</f>
        <v>26969.7</v>
      </c>
      <c r="H86" s="28">
        <f>+G86-F86</f>
        <v>21026.7</v>
      </c>
      <c r="I86" s="28">
        <f>G86-E86</f>
        <v>17619.45</v>
      </c>
      <c r="J86" s="28"/>
      <c r="K86" s="28">
        <f>SUM(K88:K92)</f>
        <v>10000</v>
      </c>
      <c r="L86" s="28">
        <f>SUM(L88:L92)</f>
        <v>10000</v>
      </c>
    </row>
    <row r="87" spans="1:12" s="21" customFormat="1" ht="23.25" customHeight="1">
      <c r="A87" s="560" t="s">
        <v>402</v>
      </c>
      <c r="B87" s="560" t="s">
        <v>403</v>
      </c>
      <c r="C87" s="319"/>
      <c r="D87" s="17" t="s">
        <v>69</v>
      </c>
      <c r="E87" s="19"/>
      <c r="F87" s="19"/>
      <c r="G87" s="19"/>
      <c r="H87" s="19"/>
      <c r="I87" s="19"/>
      <c r="J87" s="19"/>
      <c r="K87" s="19"/>
      <c r="L87" s="19"/>
    </row>
    <row r="88" spans="1:12" s="35" customFormat="1" ht="15.75" customHeight="1">
      <c r="A88" s="580">
        <v>1057</v>
      </c>
      <c r="B88" s="580">
        <v>31001</v>
      </c>
      <c r="C88" s="293">
        <v>5121</v>
      </c>
      <c r="D88" s="22" t="s">
        <v>71</v>
      </c>
      <c r="E88" s="39"/>
      <c r="F88" s="39"/>
      <c r="G88" s="275"/>
      <c r="H88" s="275">
        <f t="shared" si="3"/>
        <v>0</v>
      </c>
      <c r="I88" s="275">
        <f>G88-E88</f>
        <v>0</v>
      </c>
      <c r="J88" s="39"/>
      <c r="K88" s="275"/>
      <c r="L88" s="275"/>
    </row>
    <row r="89" spans="1:12" s="35" customFormat="1" ht="75.75" customHeight="1">
      <c r="A89" s="578"/>
      <c r="B89" s="578"/>
      <c r="C89" s="293">
        <v>5122</v>
      </c>
      <c r="D89" s="22" t="s">
        <v>72</v>
      </c>
      <c r="E89" s="39">
        <v>9350.25</v>
      </c>
      <c r="F89" s="39">
        <v>1850</v>
      </c>
      <c r="G89" s="39">
        <v>26969.7</v>
      </c>
      <c r="H89" s="275">
        <f t="shared" si="3"/>
        <v>25119.7</v>
      </c>
      <c r="I89" s="275">
        <f>G89-E89</f>
        <v>17619.45</v>
      </c>
      <c r="J89" s="39" t="s">
        <v>1148</v>
      </c>
      <c r="K89" s="275">
        <v>10000</v>
      </c>
      <c r="L89" s="275">
        <v>10000</v>
      </c>
    </row>
    <row r="90" spans="1:12" s="35" customFormat="1" ht="42.75">
      <c r="A90" s="578"/>
      <c r="B90" s="578"/>
      <c r="C90" s="293">
        <v>5129</v>
      </c>
      <c r="D90" s="22" t="s">
        <v>73</v>
      </c>
      <c r="E90" s="39"/>
      <c r="F90" s="39">
        <v>4093</v>
      </c>
      <c r="G90" s="275"/>
      <c r="H90" s="275">
        <f t="shared" si="3"/>
        <v>-4093</v>
      </c>
      <c r="I90" s="275">
        <f>G90-E90</f>
        <v>0</v>
      </c>
      <c r="J90" s="39" t="s">
        <v>1150</v>
      </c>
      <c r="K90" s="275"/>
      <c r="L90" s="275"/>
    </row>
    <row r="91" spans="1:12" s="35" customFormat="1" ht="14.25">
      <c r="A91" s="578"/>
      <c r="B91" s="578"/>
      <c r="C91" s="293">
        <v>5131</v>
      </c>
      <c r="D91" s="22" t="s">
        <v>448</v>
      </c>
      <c r="E91" s="39"/>
      <c r="F91" s="39"/>
      <c r="G91" s="275"/>
      <c r="H91" s="275">
        <f>+G91-F91</f>
        <v>0</v>
      </c>
      <c r="I91" s="275">
        <f>G91-E91</f>
        <v>0</v>
      </c>
      <c r="J91" s="39"/>
      <c r="K91" s="275"/>
      <c r="L91" s="275"/>
    </row>
    <row r="92" spans="1:12" s="35" customFormat="1" ht="15.75" customHeight="1">
      <c r="A92" s="579"/>
      <c r="B92" s="579"/>
      <c r="C92" s="293">
        <v>5132</v>
      </c>
      <c r="D92" s="22" t="s">
        <v>74</v>
      </c>
      <c r="E92" s="39"/>
      <c r="F92" s="39"/>
      <c r="G92" s="275"/>
      <c r="H92" s="275">
        <f t="shared" si="3"/>
        <v>0</v>
      </c>
      <c r="I92" s="275">
        <f>G92-E92</f>
        <v>0</v>
      </c>
      <c r="J92" s="39"/>
      <c r="K92" s="275"/>
      <c r="L92" s="275"/>
    </row>
  </sheetData>
  <sheetProtection/>
  <mergeCells count="11">
    <mergeCell ref="A6:B6"/>
    <mergeCell ref="A2:H2"/>
    <mergeCell ref="A86:B86"/>
    <mergeCell ref="A7:B7"/>
    <mergeCell ref="D3:I3"/>
    <mergeCell ref="A10:A18"/>
    <mergeCell ref="B10:B12"/>
    <mergeCell ref="B13:B14"/>
    <mergeCell ref="B15:B16"/>
    <mergeCell ref="B17:B18"/>
    <mergeCell ref="C7:D7"/>
  </mergeCells>
  <conditionalFormatting sqref="C8:D8">
    <cfRule type="cellIs" priority="7" dxfId="0" operator="equal" stopIfTrue="1">
      <formula>0</formula>
    </cfRule>
  </conditionalFormatting>
  <conditionalFormatting sqref="D14:D15">
    <cfRule type="cellIs" priority="3" dxfId="0" operator="equal" stopIfTrue="1">
      <formula>0</formula>
    </cfRule>
  </conditionalFormatting>
  <printOptions/>
  <pageMargins left="0.18" right="0.17" top="0.19" bottom="0.16" header="0.18" footer="0.16"/>
  <pageSetup horizontalDpi="600" verticalDpi="600" orientation="landscape" paperSize="9" scale="80" r:id="rId1"/>
  <headerFooter alignWithMargins="0">
    <oddFooter>&amp;R&amp;8&amp;P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AP65"/>
  <sheetViews>
    <sheetView zoomScalePageLayoutView="0" workbookViewId="0" topLeftCell="A1">
      <selection activeCell="B4" sqref="B3:L4"/>
    </sheetView>
  </sheetViews>
  <sheetFormatPr defaultColWidth="9.140625" defaultRowHeight="12.75"/>
  <cols>
    <col min="1" max="1" width="3.57421875" style="4" customWidth="1"/>
    <col min="2" max="2" width="26.8515625" style="5" customWidth="1"/>
    <col min="3" max="3" width="18.140625" style="5" customWidth="1"/>
    <col min="4" max="4" width="6.57421875" style="5" bestFit="1" customWidth="1"/>
    <col min="5" max="5" width="13.00390625" style="5" customWidth="1"/>
    <col min="6" max="6" width="6.57421875" style="5" customWidth="1"/>
    <col min="7" max="7" width="10.57421875" style="5" customWidth="1"/>
    <col min="8" max="8" width="12.140625" style="5" customWidth="1"/>
    <col min="9" max="9" width="8.140625" style="5" customWidth="1"/>
    <col min="10" max="10" width="13.00390625" style="5" customWidth="1"/>
    <col min="11" max="11" width="10.57421875" style="5" customWidth="1"/>
    <col min="12" max="12" width="10.140625" style="5" customWidth="1"/>
    <col min="13" max="14" width="11.140625" style="5" customWidth="1"/>
    <col min="15" max="15" width="8.28125" style="5" customWidth="1"/>
    <col min="16" max="16" width="13.140625" style="5" customWidth="1"/>
    <col min="17" max="17" width="9.28125" style="5" customWidth="1"/>
    <col min="18" max="18" width="10.140625" style="5" customWidth="1"/>
    <col min="19" max="19" width="13.140625" style="5" customWidth="1"/>
    <col min="20" max="20" width="9.8515625" style="5" customWidth="1"/>
    <col min="21" max="21" width="9.28125" style="5" customWidth="1"/>
    <col min="22" max="22" width="9.8515625" style="5" customWidth="1"/>
    <col min="23" max="24" width="9.140625" style="5" customWidth="1"/>
    <col min="25" max="25" width="6.57421875" style="5" bestFit="1" customWidth="1"/>
    <col min="26" max="26" width="13.00390625" style="5" customWidth="1"/>
    <col min="27" max="27" width="10.57421875" style="5" customWidth="1"/>
    <col min="28" max="28" width="12.140625" style="5" customWidth="1"/>
    <col min="29" max="29" width="8.140625" style="5" customWidth="1"/>
    <col min="30" max="30" width="13.00390625" style="5" customWidth="1"/>
    <col min="31" max="31" width="10.57421875" style="5" customWidth="1"/>
    <col min="32" max="32" width="10.140625" style="5" customWidth="1"/>
    <col min="33" max="33" width="11.140625" style="5" customWidth="1"/>
    <col min="34" max="34" width="6.57421875" style="5" bestFit="1" customWidth="1"/>
    <col min="35" max="35" width="13.00390625" style="5" customWidth="1"/>
    <col min="36" max="36" width="10.57421875" style="5" customWidth="1"/>
    <col min="37" max="37" width="12.140625" style="5" customWidth="1"/>
    <col min="38" max="38" width="8.140625" style="5" customWidth="1"/>
    <col min="39" max="39" width="13.00390625" style="5" customWidth="1"/>
    <col min="40" max="40" width="10.57421875" style="5" customWidth="1"/>
    <col min="41" max="41" width="10.140625" style="5" customWidth="1"/>
    <col min="42" max="42" width="11.140625" style="5" customWidth="1"/>
    <col min="43" max="16384" width="9.140625" style="5" customWidth="1"/>
  </cols>
  <sheetData>
    <row r="1" spans="1:42" ht="16.5">
      <c r="A1" s="32"/>
      <c r="B1" s="236" t="s">
        <v>218</v>
      </c>
      <c r="C1" s="33"/>
      <c r="D1" s="33"/>
      <c r="E1" s="33"/>
      <c r="F1" s="33"/>
      <c r="G1" s="33"/>
      <c r="H1" s="33"/>
      <c r="I1" s="33"/>
      <c r="J1" s="33"/>
      <c r="K1" s="3"/>
      <c r="L1" s="328"/>
      <c r="M1" s="137" t="s">
        <v>240</v>
      </c>
      <c r="N1" s="137"/>
      <c r="O1" s="190"/>
      <c r="P1" s="23"/>
      <c r="Q1" s="328"/>
      <c r="R1" s="137"/>
      <c r="S1" s="190"/>
      <c r="T1" s="23"/>
      <c r="U1" s="190"/>
      <c r="V1" s="23"/>
      <c r="W1" s="190"/>
      <c r="X1" s="23"/>
      <c r="Y1" s="33"/>
      <c r="Z1" s="33"/>
      <c r="AA1" s="33"/>
      <c r="AB1" s="33"/>
      <c r="AC1" s="33"/>
      <c r="AD1" s="33"/>
      <c r="AE1" s="3"/>
      <c r="AF1" s="328"/>
      <c r="AG1" s="137"/>
      <c r="AH1" s="33"/>
      <c r="AI1" s="33"/>
      <c r="AJ1" s="33"/>
      <c r="AK1" s="33"/>
      <c r="AL1" s="33"/>
      <c r="AM1" s="33"/>
      <c r="AN1" s="3"/>
      <c r="AO1" s="328"/>
      <c r="AP1" s="137"/>
    </row>
    <row r="2" spans="1:42" ht="16.5" customHeight="1" thickBot="1">
      <c r="A2" s="32"/>
      <c r="B2" s="24"/>
      <c r="C2" s="187"/>
      <c r="D2" s="187"/>
      <c r="E2" s="187"/>
      <c r="F2" s="187"/>
      <c r="G2" s="187"/>
      <c r="H2" s="187"/>
      <c r="I2" s="24"/>
      <c r="J2" s="187"/>
      <c r="K2" s="188"/>
      <c r="M2" s="422" t="s">
        <v>27</v>
      </c>
      <c r="N2" s="152"/>
      <c r="O2" s="152"/>
      <c r="P2" s="238"/>
      <c r="Q2" s="902"/>
      <c r="R2" s="902"/>
      <c r="S2" s="902"/>
      <c r="T2" s="152"/>
      <c r="U2" s="152"/>
      <c r="V2" s="152"/>
      <c r="W2" s="152"/>
      <c r="X2" s="152"/>
      <c r="Y2" s="9"/>
      <c r="Z2" s="9"/>
      <c r="AA2" s="9"/>
      <c r="AB2" s="9"/>
      <c r="AC2" s="6"/>
      <c r="AD2" s="9"/>
      <c r="AE2" s="188"/>
      <c r="AF2" s="191"/>
      <c r="AG2" s="422"/>
      <c r="AH2" s="9"/>
      <c r="AI2" s="9"/>
      <c r="AJ2" s="9"/>
      <c r="AK2" s="9"/>
      <c r="AL2" s="6"/>
      <c r="AM2" s="9"/>
      <c r="AN2" s="188"/>
      <c r="AP2" s="422"/>
    </row>
    <row r="3" spans="1:42" s="191" customFormat="1" ht="25.5" customHeight="1">
      <c r="A3" s="32"/>
      <c r="B3" s="423" t="s">
        <v>28</v>
      </c>
      <c r="C3" s="138"/>
      <c r="D3" s="138"/>
      <c r="E3" s="138"/>
      <c r="F3" s="138"/>
      <c r="G3" s="138"/>
      <c r="H3" s="33"/>
      <c r="I3" s="189"/>
      <c r="J3" s="33"/>
      <c r="K3" s="33"/>
      <c r="L3" s="33"/>
      <c r="M3" s="43" t="s">
        <v>216</v>
      </c>
      <c r="N3" s="43"/>
      <c r="O3" s="36"/>
      <c r="P3" s="190"/>
      <c r="Q3" s="33"/>
      <c r="R3" s="43"/>
      <c r="S3" s="36"/>
      <c r="T3" s="190"/>
      <c r="U3" s="36"/>
      <c r="V3" s="190"/>
      <c r="W3" s="36"/>
      <c r="X3" s="190"/>
      <c r="Y3" s="138"/>
      <c r="Z3" s="138"/>
      <c r="AA3" s="138"/>
      <c r="AB3" s="33"/>
      <c r="AC3" s="189"/>
      <c r="AD3" s="33"/>
      <c r="AE3" s="33"/>
      <c r="AF3" s="33"/>
      <c r="AG3" s="43" t="s">
        <v>216</v>
      </c>
      <c r="AH3" s="138"/>
      <c r="AI3" s="138"/>
      <c r="AJ3" s="138"/>
      <c r="AK3" s="33"/>
      <c r="AL3" s="189"/>
      <c r="AM3" s="33"/>
      <c r="AN3" s="33"/>
      <c r="AO3" s="33"/>
      <c r="AP3" s="43" t="s">
        <v>216</v>
      </c>
    </row>
    <row r="4" spans="1:42" s="191" customFormat="1" ht="13.5" customHeight="1">
      <c r="A4" s="239"/>
      <c r="B4" s="240"/>
      <c r="C4" s="241"/>
      <c r="D4" s="242"/>
      <c r="E4" s="242"/>
      <c r="F4" s="242"/>
      <c r="G4" s="242"/>
      <c r="H4" s="242"/>
      <c r="I4" s="356" t="s">
        <v>461</v>
      </c>
      <c r="J4" s="242"/>
      <c r="K4" s="242"/>
      <c r="L4" s="242"/>
      <c r="M4" s="242"/>
      <c r="N4" s="241"/>
      <c r="O4" s="961" t="s">
        <v>462</v>
      </c>
      <c r="P4" s="961"/>
      <c r="Q4" s="961"/>
      <c r="R4" s="961"/>
      <c r="S4" s="962"/>
      <c r="T4" s="961" t="s">
        <v>217</v>
      </c>
      <c r="U4" s="961"/>
      <c r="V4" s="961"/>
      <c r="W4" s="961"/>
      <c r="X4" s="962"/>
      <c r="Y4" s="241"/>
      <c r="Z4" s="242"/>
      <c r="AA4" s="242"/>
      <c r="AB4" s="242"/>
      <c r="AC4" s="356" t="s">
        <v>479</v>
      </c>
      <c r="AD4" s="242"/>
      <c r="AE4" s="242"/>
      <c r="AF4" s="242"/>
      <c r="AG4" s="610"/>
      <c r="AH4" s="241"/>
      <c r="AI4" s="242"/>
      <c r="AJ4" s="242"/>
      <c r="AK4" s="242"/>
      <c r="AL4" s="356" t="s">
        <v>520</v>
      </c>
      <c r="AM4" s="242"/>
      <c r="AN4" s="242"/>
      <c r="AO4" s="242"/>
      <c r="AP4" s="610"/>
    </row>
    <row r="5" spans="1:42" s="191" customFormat="1" ht="89.25">
      <c r="A5" s="243" t="s">
        <v>111</v>
      </c>
      <c r="B5" s="66" t="s">
        <v>219</v>
      </c>
      <c r="C5" s="66" t="s">
        <v>220</v>
      </c>
      <c r="D5" s="66" t="s">
        <v>288</v>
      </c>
      <c r="E5" s="66" t="s">
        <v>423</v>
      </c>
      <c r="F5" s="66" t="s">
        <v>221</v>
      </c>
      <c r="G5" s="66" t="s">
        <v>222</v>
      </c>
      <c r="H5" s="562" t="s">
        <v>457</v>
      </c>
      <c r="I5" s="66" t="s">
        <v>212</v>
      </c>
      <c r="J5" s="325" t="s">
        <v>293</v>
      </c>
      <c r="K5" s="66" t="s">
        <v>223</v>
      </c>
      <c r="L5" s="66" t="s">
        <v>289</v>
      </c>
      <c r="M5" s="66" t="s">
        <v>290</v>
      </c>
      <c r="N5" s="562" t="s">
        <v>456</v>
      </c>
      <c r="O5" s="66" t="s">
        <v>212</v>
      </c>
      <c r="P5" s="66" t="s">
        <v>301</v>
      </c>
      <c r="Q5" s="66" t="s">
        <v>223</v>
      </c>
      <c r="R5" s="66" t="s">
        <v>289</v>
      </c>
      <c r="S5" s="66" t="s">
        <v>302</v>
      </c>
      <c r="T5" s="66" t="s">
        <v>212</v>
      </c>
      <c r="U5" s="66" t="s">
        <v>239</v>
      </c>
      <c r="V5" s="66" t="s">
        <v>223</v>
      </c>
      <c r="W5" s="66" t="s">
        <v>289</v>
      </c>
      <c r="X5" s="66" t="s">
        <v>303</v>
      </c>
      <c r="Y5" s="66" t="s">
        <v>288</v>
      </c>
      <c r="Z5" s="66" t="s">
        <v>423</v>
      </c>
      <c r="AA5" s="66" t="s">
        <v>222</v>
      </c>
      <c r="AB5" s="562" t="s">
        <v>475</v>
      </c>
      <c r="AC5" s="66" t="s">
        <v>212</v>
      </c>
      <c r="AD5" s="66" t="s">
        <v>239</v>
      </c>
      <c r="AE5" s="66" t="s">
        <v>223</v>
      </c>
      <c r="AF5" s="66" t="s">
        <v>289</v>
      </c>
      <c r="AG5" s="66" t="s">
        <v>255</v>
      </c>
      <c r="AH5" s="66" t="s">
        <v>288</v>
      </c>
      <c r="AI5" s="66" t="s">
        <v>423</v>
      </c>
      <c r="AJ5" s="66" t="s">
        <v>222</v>
      </c>
      <c r="AK5" s="562" t="s">
        <v>522</v>
      </c>
      <c r="AL5" s="66" t="s">
        <v>212</v>
      </c>
      <c r="AM5" s="66" t="s">
        <v>239</v>
      </c>
      <c r="AN5" s="66" t="s">
        <v>223</v>
      </c>
      <c r="AO5" s="66" t="s">
        <v>289</v>
      </c>
      <c r="AP5" s="66" t="s">
        <v>255</v>
      </c>
    </row>
    <row r="6" spans="1:42" s="37" customFormat="1" ht="12.75">
      <c r="A6" s="127">
        <v>1</v>
      </c>
      <c r="B6" s="127">
        <v>2</v>
      </c>
      <c r="C6" s="127">
        <v>3</v>
      </c>
      <c r="D6" s="127">
        <v>4</v>
      </c>
      <c r="E6" s="127">
        <v>5</v>
      </c>
      <c r="F6" s="127">
        <v>6</v>
      </c>
      <c r="G6" s="127">
        <v>7</v>
      </c>
      <c r="H6" s="127">
        <v>8</v>
      </c>
      <c r="I6" s="127">
        <v>9</v>
      </c>
      <c r="J6" s="127">
        <v>10</v>
      </c>
      <c r="K6" s="127">
        <v>11</v>
      </c>
      <c r="L6" s="127">
        <v>12</v>
      </c>
      <c r="M6" s="127">
        <v>13</v>
      </c>
      <c r="N6" s="127">
        <v>14</v>
      </c>
      <c r="O6" s="127">
        <v>15</v>
      </c>
      <c r="P6" s="127">
        <v>16</v>
      </c>
      <c r="Q6" s="127">
        <v>17</v>
      </c>
      <c r="R6" s="127">
        <v>18</v>
      </c>
      <c r="S6" s="127">
        <v>19</v>
      </c>
      <c r="T6" s="127">
        <v>20</v>
      </c>
      <c r="U6" s="127">
        <v>21</v>
      </c>
      <c r="V6" s="127">
        <v>22</v>
      </c>
      <c r="W6" s="127">
        <v>23</v>
      </c>
      <c r="X6" s="127">
        <v>24</v>
      </c>
      <c r="Y6" s="127">
        <v>25</v>
      </c>
      <c r="Z6" s="127">
        <v>26</v>
      </c>
      <c r="AA6" s="127">
        <v>28</v>
      </c>
      <c r="AB6" s="127">
        <v>29</v>
      </c>
      <c r="AC6" s="127">
        <v>30</v>
      </c>
      <c r="AD6" s="127">
        <v>31</v>
      </c>
      <c r="AE6" s="127">
        <v>32</v>
      </c>
      <c r="AF6" s="127">
        <v>33</v>
      </c>
      <c r="AG6" s="127">
        <v>34</v>
      </c>
      <c r="AH6" s="127">
        <v>35</v>
      </c>
      <c r="AI6" s="127">
        <v>36</v>
      </c>
      <c r="AJ6" s="127">
        <v>38</v>
      </c>
      <c r="AK6" s="127">
        <v>39</v>
      </c>
      <c r="AL6" s="127">
        <v>40</v>
      </c>
      <c r="AM6" s="127">
        <v>41</v>
      </c>
      <c r="AN6" s="127">
        <v>42</v>
      </c>
      <c r="AO6" s="127">
        <v>43</v>
      </c>
      <c r="AP6" s="127">
        <v>44</v>
      </c>
    </row>
    <row r="7" spans="1:42" ht="13.5">
      <c r="A7" s="232"/>
      <c r="B7" s="104"/>
      <c r="C7" s="258"/>
      <c r="D7" s="258"/>
      <c r="E7" s="258"/>
      <c r="F7" s="246"/>
      <c r="G7" s="246"/>
      <c r="H7" s="246"/>
      <c r="I7" s="246"/>
      <c r="J7" s="246"/>
      <c r="K7" s="246"/>
      <c r="L7" s="246"/>
      <c r="M7" s="246"/>
      <c r="N7" s="246"/>
      <c r="O7" s="246"/>
      <c r="P7" s="246"/>
      <c r="Q7" s="246"/>
      <c r="R7" s="72"/>
      <c r="S7" s="246"/>
      <c r="T7" s="246"/>
      <c r="U7" s="246"/>
      <c r="V7" s="246"/>
      <c r="W7" s="109"/>
      <c r="X7" s="109"/>
      <c r="Y7" s="258"/>
      <c r="Z7" s="258"/>
      <c r="AA7" s="246"/>
      <c r="AB7" s="246"/>
      <c r="AC7" s="246"/>
      <c r="AD7" s="246"/>
      <c r="AE7" s="246"/>
      <c r="AF7" s="246"/>
      <c r="AG7" s="246"/>
      <c r="AH7" s="258"/>
      <c r="AI7" s="258"/>
      <c r="AJ7" s="246"/>
      <c r="AK7" s="246"/>
      <c r="AL7" s="246"/>
      <c r="AM7" s="246"/>
      <c r="AN7" s="246"/>
      <c r="AO7" s="246"/>
      <c r="AP7" s="246"/>
    </row>
    <row r="8" spans="1:42" ht="14.25">
      <c r="A8" s="244" t="s">
        <v>2</v>
      </c>
      <c r="B8" s="245" t="s">
        <v>418</v>
      </c>
      <c r="C8" s="246"/>
      <c r="D8" s="246"/>
      <c r="E8" s="246"/>
      <c r="F8" s="246"/>
      <c r="G8" s="246"/>
      <c r="H8" s="246"/>
      <c r="I8" s="207"/>
      <c r="J8" s="207"/>
      <c r="K8" s="207"/>
      <c r="L8" s="207"/>
      <c r="M8" s="207"/>
      <c r="N8" s="246"/>
      <c r="O8" s="207"/>
      <c r="P8" s="207"/>
      <c r="Q8" s="207"/>
      <c r="R8" s="207"/>
      <c r="S8" s="207"/>
      <c r="T8" s="207"/>
      <c r="U8" s="207"/>
      <c r="V8" s="207"/>
      <c r="W8" s="109"/>
      <c r="X8" s="109"/>
      <c r="Y8" s="246"/>
      <c r="Z8" s="246"/>
      <c r="AA8" s="246"/>
      <c r="AB8" s="246"/>
      <c r="AC8" s="207"/>
      <c r="AD8" s="207"/>
      <c r="AE8" s="207"/>
      <c r="AF8" s="207"/>
      <c r="AG8" s="207"/>
      <c r="AH8" s="246"/>
      <c r="AI8" s="246"/>
      <c r="AJ8" s="246"/>
      <c r="AK8" s="246"/>
      <c r="AL8" s="207"/>
      <c r="AM8" s="207"/>
      <c r="AN8" s="207"/>
      <c r="AO8" s="207"/>
      <c r="AP8" s="207"/>
    </row>
    <row r="9" spans="1:42" ht="13.5">
      <c r="A9" s="232"/>
      <c r="B9" s="207"/>
      <c r="C9" s="246"/>
      <c r="D9" s="246"/>
      <c r="E9" s="246"/>
      <c r="F9" s="246"/>
      <c r="G9" s="246"/>
      <c r="H9" s="246"/>
      <c r="I9" s="207"/>
      <c r="J9" s="207"/>
      <c r="K9" s="207"/>
      <c r="L9" s="207"/>
      <c r="M9" s="207"/>
      <c r="N9" s="246"/>
      <c r="O9" s="207"/>
      <c r="P9" s="207"/>
      <c r="Q9" s="207"/>
      <c r="R9" s="207"/>
      <c r="S9" s="207"/>
      <c r="T9" s="207"/>
      <c r="U9" s="207"/>
      <c r="V9" s="207"/>
      <c r="W9" s="109"/>
      <c r="X9" s="109"/>
      <c r="Y9" s="246"/>
      <c r="Z9" s="246"/>
      <c r="AA9" s="246"/>
      <c r="AB9" s="246"/>
      <c r="AC9" s="207"/>
      <c r="AD9" s="207"/>
      <c r="AE9" s="207"/>
      <c r="AF9" s="207"/>
      <c r="AG9" s="207"/>
      <c r="AH9" s="246"/>
      <c r="AI9" s="246"/>
      <c r="AJ9" s="246"/>
      <c r="AK9" s="246"/>
      <c r="AL9" s="207"/>
      <c r="AM9" s="207"/>
      <c r="AN9" s="207"/>
      <c r="AO9" s="207"/>
      <c r="AP9" s="207"/>
    </row>
    <row r="10" spans="1:42" ht="13.5">
      <c r="A10" s="232">
        <v>1</v>
      </c>
      <c r="B10" s="104"/>
      <c r="C10" s="232"/>
      <c r="D10" s="232"/>
      <c r="E10" s="232"/>
      <c r="F10" s="232"/>
      <c r="G10" s="232"/>
      <c r="H10" s="232"/>
      <c r="I10" s="104"/>
      <c r="J10" s="104"/>
      <c r="K10" s="104"/>
      <c r="L10" s="104"/>
      <c r="M10" s="246">
        <f>J10+K10+L10</f>
        <v>0</v>
      </c>
      <c r="N10" s="232"/>
      <c r="O10" s="104"/>
      <c r="P10" s="232"/>
      <c r="Q10" s="232"/>
      <c r="R10" s="232"/>
      <c r="S10" s="246">
        <f>P10+Q10+R10</f>
        <v>0</v>
      </c>
      <c r="T10" s="246">
        <f aca="true" t="shared" si="0" ref="T10:W12">I10-O10</f>
        <v>0</v>
      </c>
      <c r="U10" s="246">
        <f t="shared" si="0"/>
        <v>0</v>
      </c>
      <c r="V10" s="246">
        <f t="shared" si="0"/>
        <v>0</v>
      </c>
      <c r="W10" s="246">
        <f t="shared" si="0"/>
        <v>0</v>
      </c>
      <c r="X10" s="246">
        <f>U10+V10+W10</f>
        <v>0</v>
      </c>
      <c r="Y10" s="232"/>
      <c r="Z10" s="232"/>
      <c r="AA10" s="232"/>
      <c r="AB10" s="232"/>
      <c r="AC10" s="104"/>
      <c r="AD10" s="104"/>
      <c r="AE10" s="104"/>
      <c r="AF10" s="104"/>
      <c r="AG10" s="246">
        <f>AD10+AE10+AF10</f>
        <v>0</v>
      </c>
      <c r="AH10" s="232"/>
      <c r="AI10" s="232"/>
      <c r="AJ10" s="232"/>
      <c r="AK10" s="232"/>
      <c r="AL10" s="104"/>
      <c r="AM10" s="104"/>
      <c r="AN10" s="104"/>
      <c r="AO10" s="104"/>
      <c r="AP10" s="246">
        <f>AM10+AN10+AO10</f>
        <v>0</v>
      </c>
    </row>
    <row r="11" spans="1:42" ht="13.5">
      <c r="A11" s="232">
        <v>2</v>
      </c>
      <c r="B11" s="104"/>
      <c r="C11" s="232"/>
      <c r="D11" s="232"/>
      <c r="E11" s="232"/>
      <c r="F11" s="232"/>
      <c r="G11" s="232"/>
      <c r="H11" s="232"/>
      <c r="I11" s="104"/>
      <c r="J11" s="104"/>
      <c r="K11" s="104"/>
      <c r="L11" s="104"/>
      <c r="M11" s="246">
        <f>J11+K11+L11</f>
        <v>0</v>
      </c>
      <c r="N11" s="232"/>
      <c r="O11" s="104"/>
      <c r="P11" s="232"/>
      <c r="Q11" s="232"/>
      <c r="R11" s="232"/>
      <c r="S11" s="246">
        <f>P11+Q11+R11</f>
        <v>0</v>
      </c>
      <c r="T11" s="246">
        <f t="shared" si="0"/>
        <v>0</v>
      </c>
      <c r="U11" s="246">
        <f t="shared" si="0"/>
        <v>0</v>
      </c>
      <c r="V11" s="246">
        <f t="shared" si="0"/>
        <v>0</v>
      </c>
      <c r="W11" s="246">
        <f t="shared" si="0"/>
        <v>0</v>
      </c>
      <c r="X11" s="246">
        <f>U11+V11+W11</f>
        <v>0</v>
      </c>
      <c r="Y11" s="232"/>
      <c r="Z11" s="232"/>
      <c r="AA11" s="232"/>
      <c r="AB11" s="232"/>
      <c r="AC11" s="104"/>
      <c r="AD11" s="104"/>
      <c r="AE11" s="104"/>
      <c r="AF11" s="104"/>
      <c r="AG11" s="246">
        <f>AD11+AE11+AF11</f>
        <v>0</v>
      </c>
      <c r="AH11" s="232"/>
      <c r="AI11" s="232"/>
      <c r="AJ11" s="232"/>
      <c r="AK11" s="232"/>
      <c r="AL11" s="104"/>
      <c r="AM11" s="104"/>
      <c r="AN11" s="104"/>
      <c r="AO11" s="104"/>
      <c r="AP11" s="246">
        <f>AM11+AN11+AO11</f>
        <v>0</v>
      </c>
    </row>
    <row r="12" spans="1:42" ht="13.5">
      <c r="A12" s="232">
        <v>3</v>
      </c>
      <c r="B12" s="247"/>
      <c r="C12" s="232"/>
      <c r="D12" s="232"/>
      <c r="E12" s="232"/>
      <c r="F12" s="232"/>
      <c r="G12" s="232"/>
      <c r="H12" s="232"/>
      <c r="I12" s="104"/>
      <c r="J12" s="104"/>
      <c r="K12" s="104"/>
      <c r="L12" s="104"/>
      <c r="M12" s="246">
        <f>J12+K12+L12</f>
        <v>0</v>
      </c>
      <c r="N12" s="232"/>
      <c r="O12" s="104"/>
      <c r="P12" s="232"/>
      <c r="Q12" s="232"/>
      <c r="R12" s="232"/>
      <c r="S12" s="246">
        <f>P12+Q12+R12</f>
        <v>0</v>
      </c>
      <c r="T12" s="246">
        <f t="shared" si="0"/>
        <v>0</v>
      </c>
      <c r="U12" s="246">
        <f t="shared" si="0"/>
        <v>0</v>
      </c>
      <c r="V12" s="246">
        <f t="shared" si="0"/>
        <v>0</v>
      </c>
      <c r="W12" s="246">
        <f t="shared" si="0"/>
        <v>0</v>
      </c>
      <c r="X12" s="246">
        <f>U12+V12+W12</f>
        <v>0</v>
      </c>
      <c r="Y12" s="232"/>
      <c r="Z12" s="232"/>
      <c r="AA12" s="232"/>
      <c r="AB12" s="232"/>
      <c r="AC12" s="104"/>
      <c r="AD12" s="104"/>
      <c r="AE12" s="104"/>
      <c r="AF12" s="104"/>
      <c r="AG12" s="246">
        <f>AD12+AE12+AF12</f>
        <v>0</v>
      </c>
      <c r="AH12" s="232"/>
      <c r="AI12" s="232"/>
      <c r="AJ12" s="232"/>
      <c r="AK12" s="232"/>
      <c r="AL12" s="104"/>
      <c r="AM12" s="104"/>
      <c r="AN12" s="104"/>
      <c r="AO12" s="104"/>
      <c r="AP12" s="246">
        <f>AM12+AN12+AO12</f>
        <v>0</v>
      </c>
    </row>
    <row r="13" spans="1:42" s="249" customFormat="1" ht="14.25">
      <c r="A13" s="244"/>
      <c r="B13" s="252" t="s">
        <v>263</v>
      </c>
      <c r="C13" s="248" t="s">
        <v>1</v>
      </c>
      <c r="D13" s="248"/>
      <c r="E13" s="248"/>
      <c r="F13" s="248" t="s">
        <v>1</v>
      </c>
      <c r="G13" s="248" t="s">
        <v>1</v>
      </c>
      <c r="H13" s="248" t="s">
        <v>1</v>
      </c>
      <c r="I13" s="248">
        <f>SUM(I10:I12)</f>
        <v>0</v>
      </c>
      <c r="J13" s="248">
        <f>SUM(J10:J12)</f>
        <v>0</v>
      </c>
      <c r="K13" s="248">
        <f>SUM(K10:K12)</f>
        <v>0</v>
      </c>
      <c r="L13" s="248">
        <f>SUM(L10:L12)</f>
        <v>0</v>
      </c>
      <c r="M13" s="248">
        <f>SUM(M10:M12)</f>
        <v>0</v>
      </c>
      <c r="N13" s="248" t="s">
        <v>1</v>
      </c>
      <c r="O13" s="248">
        <f aca="true" t="shared" si="1" ref="O13:X13">SUM(O10:O12)</f>
        <v>0</v>
      </c>
      <c r="P13" s="248">
        <f t="shared" si="1"/>
        <v>0</v>
      </c>
      <c r="Q13" s="248">
        <f t="shared" si="1"/>
        <v>0</v>
      </c>
      <c r="R13" s="248">
        <f t="shared" si="1"/>
        <v>0</v>
      </c>
      <c r="S13" s="248">
        <f t="shared" si="1"/>
        <v>0</v>
      </c>
      <c r="T13" s="248">
        <f t="shared" si="1"/>
        <v>0</v>
      </c>
      <c r="U13" s="248">
        <f t="shared" si="1"/>
        <v>0</v>
      </c>
      <c r="V13" s="248">
        <f t="shared" si="1"/>
        <v>0</v>
      </c>
      <c r="W13" s="248">
        <f t="shared" si="1"/>
        <v>0</v>
      </c>
      <c r="X13" s="248">
        <f t="shared" si="1"/>
        <v>0</v>
      </c>
      <c r="Y13" s="248"/>
      <c r="Z13" s="248"/>
      <c r="AA13" s="248" t="s">
        <v>1</v>
      </c>
      <c r="AB13" s="248" t="s">
        <v>1</v>
      </c>
      <c r="AC13" s="248">
        <f>SUM(AC10:AC12)</f>
        <v>0</v>
      </c>
      <c r="AD13" s="248">
        <f>SUM(AD10:AD12)</f>
        <v>0</v>
      </c>
      <c r="AE13" s="248">
        <f>SUM(AE10:AE12)</f>
        <v>0</v>
      </c>
      <c r="AF13" s="248">
        <f>SUM(AF10:AF12)</f>
        <v>0</v>
      </c>
      <c r="AG13" s="248">
        <f>SUM(AG10:AG12)</f>
        <v>0</v>
      </c>
      <c r="AH13" s="248"/>
      <c r="AI13" s="248"/>
      <c r="AJ13" s="248" t="s">
        <v>1</v>
      </c>
      <c r="AK13" s="248" t="s">
        <v>1</v>
      </c>
      <c r="AL13" s="248">
        <f>SUM(AL10:AL12)</f>
        <v>0</v>
      </c>
      <c r="AM13" s="248">
        <f>SUM(AM10:AM12)</f>
        <v>0</v>
      </c>
      <c r="AN13" s="248">
        <f>SUM(AN10:AN12)</f>
        <v>0</v>
      </c>
      <c r="AO13" s="248">
        <f>SUM(AO10:AO12)</f>
        <v>0</v>
      </c>
      <c r="AP13" s="248">
        <f>SUM(AP10:AP12)</f>
        <v>0</v>
      </c>
    </row>
    <row r="14" spans="1:42" s="249" customFormat="1" ht="14.25">
      <c r="A14" s="244"/>
      <c r="B14" s="252"/>
      <c r="C14" s="248"/>
      <c r="D14" s="248"/>
      <c r="E14" s="248"/>
      <c r="F14" s="248"/>
      <c r="G14" s="248"/>
      <c r="H14" s="248"/>
      <c r="I14" s="248"/>
      <c r="J14" s="248"/>
      <c r="K14" s="248"/>
      <c r="L14" s="248"/>
      <c r="M14" s="248"/>
      <c r="N14" s="248"/>
      <c r="O14" s="248"/>
      <c r="P14" s="248"/>
      <c r="Q14" s="248"/>
      <c r="R14" s="248"/>
      <c r="S14" s="248"/>
      <c r="T14" s="248"/>
      <c r="U14" s="248"/>
      <c r="V14" s="248"/>
      <c r="W14" s="248"/>
      <c r="X14" s="248"/>
      <c r="Y14" s="248"/>
      <c r="Z14" s="248"/>
      <c r="AA14" s="248"/>
      <c r="AB14" s="248"/>
      <c r="AC14" s="248"/>
      <c r="AD14" s="248"/>
      <c r="AE14" s="248"/>
      <c r="AF14" s="248"/>
      <c r="AG14" s="248"/>
      <c r="AH14" s="248"/>
      <c r="AI14" s="248"/>
      <c r="AJ14" s="248"/>
      <c r="AK14" s="248"/>
      <c r="AL14" s="248"/>
      <c r="AM14" s="248"/>
      <c r="AN14" s="248"/>
      <c r="AO14" s="248"/>
      <c r="AP14" s="248"/>
    </row>
    <row r="15" spans="1:42" ht="14.25">
      <c r="A15" s="244" t="s">
        <v>3</v>
      </c>
      <c r="B15" s="245" t="s">
        <v>336</v>
      </c>
      <c r="C15" s="246"/>
      <c r="D15" s="246"/>
      <c r="E15" s="246"/>
      <c r="F15" s="246"/>
      <c r="G15" s="246"/>
      <c r="H15" s="246"/>
      <c r="I15" s="207"/>
      <c r="J15" s="207"/>
      <c r="K15" s="207"/>
      <c r="L15" s="207"/>
      <c r="M15" s="207"/>
      <c r="N15" s="246"/>
      <c r="O15" s="207"/>
      <c r="P15" s="207"/>
      <c r="Q15" s="207"/>
      <c r="R15" s="207"/>
      <c r="S15" s="207"/>
      <c r="T15" s="207"/>
      <c r="U15" s="207"/>
      <c r="V15" s="207"/>
      <c r="W15" s="109"/>
      <c r="X15" s="109"/>
      <c r="Y15" s="246"/>
      <c r="Z15" s="246"/>
      <c r="AA15" s="246"/>
      <c r="AB15" s="246"/>
      <c r="AC15" s="207"/>
      <c r="AD15" s="207"/>
      <c r="AE15" s="207"/>
      <c r="AF15" s="207"/>
      <c r="AG15" s="207"/>
      <c r="AH15" s="246"/>
      <c r="AI15" s="246"/>
      <c r="AJ15" s="246"/>
      <c r="AK15" s="246"/>
      <c r="AL15" s="207"/>
      <c r="AM15" s="207"/>
      <c r="AN15" s="207"/>
      <c r="AO15" s="207"/>
      <c r="AP15" s="207"/>
    </row>
    <row r="16" spans="1:42" ht="13.5">
      <c r="A16" s="232"/>
      <c r="B16" s="207"/>
      <c r="C16" s="246"/>
      <c r="D16" s="246"/>
      <c r="E16" s="246"/>
      <c r="F16" s="246"/>
      <c r="G16" s="246"/>
      <c r="H16" s="246"/>
      <c r="I16" s="207"/>
      <c r="J16" s="207"/>
      <c r="K16" s="207"/>
      <c r="L16" s="207"/>
      <c r="M16" s="207"/>
      <c r="N16" s="246"/>
      <c r="O16" s="207"/>
      <c r="P16" s="207"/>
      <c r="Q16" s="207"/>
      <c r="R16" s="207"/>
      <c r="S16" s="207"/>
      <c r="T16" s="207"/>
      <c r="U16" s="207"/>
      <c r="V16" s="207"/>
      <c r="W16" s="109"/>
      <c r="X16" s="109"/>
      <c r="Y16" s="246"/>
      <c r="Z16" s="246"/>
      <c r="AA16" s="246"/>
      <c r="AB16" s="246"/>
      <c r="AC16" s="207"/>
      <c r="AD16" s="207"/>
      <c r="AE16" s="207"/>
      <c r="AF16" s="207"/>
      <c r="AG16" s="207"/>
      <c r="AH16" s="246"/>
      <c r="AI16" s="246"/>
      <c r="AJ16" s="246"/>
      <c r="AK16" s="246"/>
      <c r="AL16" s="207"/>
      <c r="AM16" s="207"/>
      <c r="AN16" s="207"/>
      <c r="AO16" s="207"/>
      <c r="AP16" s="207"/>
    </row>
    <row r="17" spans="1:42" ht="13.5">
      <c r="A17" s="232">
        <v>1</v>
      </c>
      <c r="B17" s="104"/>
      <c r="C17" s="232"/>
      <c r="D17" s="232"/>
      <c r="E17" s="232"/>
      <c r="F17" s="232"/>
      <c r="G17" s="232"/>
      <c r="H17" s="232"/>
      <c r="I17" s="104"/>
      <c r="J17" s="104"/>
      <c r="K17" s="104"/>
      <c r="L17" s="104"/>
      <c r="M17" s="246">
        <f>J17+K17+L17</f>
        <v>0</v>
      </c>
      <c r="N17" s="232"/>
      <c r="O17" s="104"/>
      <c r="P17" s="232"/>
      <c r="Q17" s="232"/>
      <c r="R17" s="232"/>
      <c r="S17" s="246">
        <f>P17+Q17+R17</f>
        <v>0</v>
      </c>
      <c r="T17" s="246">
        <f aca="true" t="shared" si="2" ref="T17:W19">I17-O17</f>
        <v>0</v>
      </c>
      <c r="U17" s="246">
        <f t="shared" si="2"/>
        <v>0</v>
      </c>
      <c r="V17" s="246">
        <f t="shared" si="2"/>
        <v>0</v>
      </c>
      <c r="W17" s="246">
        <f t="shared" si="2"/>
        <v>0</v>
      </c>
      <c r="X17" s="246">
        <f>U17+V17+W17</f>
        <v>0</v>
      </c>
      <c r="Y17" s="232"/>
      <c r="Z17" s="232"/>
      <c r="AA17" s="232"/>
      <c r="AB17" s="232"/>
      <c r="AC17" s="104"/>
      <c r="AD17" s="104"/>
      <c r="AE17" s="104"/>
      <c r="AF17" s="104"/>
      <c r="AG17" s="246">
        <f>AD17+AE17+AF17</f>
        <v>0</v>
      </c>
      <c r="AH17" s="232"/>
      <c r="AI17" s="232"/>
      <c r="AJ17" s="232"/>
      <c r="AK17" s="232"/>
      <c r="AL17" s="104"/>
      <c r="AM17" s="104"/>
      <c r="AN17" s="104"/>
      <c r="AO17" s="104"/>
      <c r="AP17" s="246">
        <f>AM17+AN17+AO17</f>
        <v>0</v>
      </c>
    </row>
    <row r="18" spans="1:42" ht="13.5">
      <c r="A18" s="232">
        <v>2</v>
      </c>
      <c r="B18" s="104"/>
      <c r="C18" s="232"/>
      <c r="D18" s="232"/>
      <c r="E18" s="232"/>
      <c r="F18" s="232"/>
      <c r="G18" s="232"/>
      <c r="H18" s="232"/>
      <c r="I18" s="104"/>
      <c r="J18" s="104"/>
      <c r="K18" s="104"/>
      <c r="L18" s="104"/>
      <c r="M18" s="246">
        <f>J18+K18+L18</f>
        <v>0</v>
      </c>
      <c r="N18" s="232"/>
      <c r="O18" s="104"/>
      <c r="P18" s="232"/>
      <c r="Q18" s="232"/>
      <c r="R18" s="232"/>
      <c r="S18" s="246">
        <f>P18+Q18+R18</f>
        <v>0</v>
      </c>
      <c r="T18" s="246">
        <f t="shared" si="2"/>
        <v>0</v>
      </c>
      <c r="U18" s="246">
        <f t="shared" si="2"/>
        <v>0</v>
      </c>
      <c r="V18" s="246">
        <f t="shared" si="2"/>
        <v>0</v>
      </c>
      <c r="W18" s="246">
        <f t="shared" si="2"/>
        <v>0</v>
      </c>
      <c r="X18" s="246">
        <f>U18+V18+W18</f>
        <v>0</v>
      </c>
      <c r="Y18" s="232"/>
      <c r="Z18" s="232"/>
      <c r="AA18" s="232"/>
      <c r="AB18" s="232"/>
      <c r="AC18" s="104"/>
      <c r="AD18" s="104"/>
      <c r="AE18" s="104"/>
      <c r="AF18" s="104"/>
      <c r="AG18" s="246">
        <f>AD18+AE18+AF18</f>
        <v>0</v>
      </c>
      <c r="AH18" s="232"/>
      <c r="AI18" s="232"/>
      <c r="AJ18" s="232"/>
      <c r="AK18" s="232"/>
      <c r="AL18" s="104"/>
      <c r="AM18" s="104"/>
      <c r="AN18" s="104"/>
      <c r="AO18" s="104"/>
      <c r="AP18" s="246">
        <f>AM18+AN18+AO18</f>
        <v>0</v>
      </c>
    </row>
    <row r="19" spans="1:42" ht="13.5">
      <c r="A19" s="232">
        <v>3</v>
      </c>
      <c r="B19" s="247"/>
      <c r="C19" s="232"/>
      <c r="D19" s="232"/>
      <c r="E19" s="232"/>
      <c r="F19" s="232"/>
      <c r="G19" s="232"/>
      <c r="H19" s="232"/>
      <c r="I19" s="104"/>
      <c r="J19" s="104"/>
      <c r="K19" s="104"/>
      <c r="L19" s="104"/>
      <c r="M19" s="246">
        <f>J19+K19+L19</f>
        <v>0</v>
      </c>
      <c r="N19" s="232"/>
      <c r="O19" s="104"/>
      <c r="P19" s="232"/>
      <c r="Q19" s="232"/>
      <c r="R19" s="232"/>
      <c r="S19" s="246">
        <f>P19+Q19+R19</f>
        <v>0</v>
      </c>
      <c r="T19" s="246">
        <f t="shared" si="2"/>
        <v>0</v>
      </c>
      <c r="U19" s="246">
        <f t="shared" si="2"/>
        <v>0</v>
      </c>
      <c r="V19" s="246">
        <f t="shared" si="2"/>
        <v>0</v>
      </c>
      <c r="W19" s="246">
        <f t="shared" si="2"/>
        <v>0</v>
      </c>
      <c r="X19" s="246">
        <f>U19+V19+W19</f>
        <v>0</v>
      </c>
      <c r="Y19" s="232"/>
      <c r="Z19" s="232"/>
      <c r="AA19" s="232"/>
      <c r="AB19" s="232"/>
      <c r="AC19" s="104"/>
      <c r="AD19" s="104"/>
      <c r="AE19" s="104"/>
      <c r="AF19" s="104"/>
      <c r="AG19" s="246">
        <f>AD19+AE19+AF19</f>
        <v>0</v>
      </c>
      <c r="AH19" s="232"/>
      <c r="AI19" s="232"/>
      <c r="AJ19" s="232"/>
      <c r="AK19" s="232"/>
      <c r="AL19" s="104"/>
      <c r="AM19" s="104"/>
      <c r="AN19" s="104"/>
      <c r="AO19" s="104"/>
      <c r="AP19" s="246">
        <f>AM19+AN19+AO19</f>
        <v>0</v>
      </c>
    </row>
    <row r="20" spans="1:42" s="249" customFormat="1" ht="14.25">
      <c r="A20" s="244"/>
      <c r="B20" s="252" t="s">
        <v>263</v>
      </c>
      <c r="C20" s="248" t="s">
        <v>1</v>
      </c>
      <c r="D20" s="248"/>
      <c r="E20" s="248"/>
      <c r="F20" s="248" t="s">
        <v>1</v>
      </c>
      <c r="G20" s="248" t="s">
        <v>1</v>
      </c>
      <c r="H20" s="248" t="s">
        <v>1</v>
      </c>
      <c r="I20" s="248">
        <f>SUM(I17:I19)</f>
        <v>0</v>
      </c>
      <c r="J20" s="248">
        <f>SUM(J17:J19)</f>
        <v>0</v>
      </c>
      <c r="K20" s="248">
        <f>SUM(K17:K19)</f>
        <v>0</v>
      </c>
      <c r="L20" s="248">
        <f>SUM(L17:L19)</f>
        <v>0</v>
      </c>
      <c r="M20" s="248">
        <f>SUM(M17:M19)</f>
        <v>0</v>
      </c>
      <c r="N20" s="248" t="s">
        <v>1</v>
      </c>
      <c r="O20" s="248">
        <f aca="true" t="shared" si="3" ref="O20:X20">SUM(O17:O19)</f>
        <v>0</v>
      </c>
      <c r="P20" s="248">
        <f t="shared" si="3"/>
        <v>0</v>
      </c>
      <c r="Q20" s="248">
        <f t="shared" si="3"/>
        <v>0</v>
      </c>
      <c r="R20" s="248">
        <f t="shared" si="3"/>
        <v>0</v>
      </c>
      <c r="S20" s="248">
        <f t="shared" si="3"/>
        <v>0</v>
      </c>
      <c r="T20" s="248">
        <f t="shared" si="3"/>
        <v>0</v>
      </c>
      <c r="U20" s="248">
        <f t="shared" si="3"/>
        <v>0</v>
      </c>
      <c r="V20" s="248">
        <f t="shared" si="3"/>
        <v>0</v>
      </c>
      <c r="W20" s="248">
        <f t="shared" si="3"/>
        <v>0</v>
      </c>
      <c r="X20" s="248">
        <f t="shared" si="3"/>
        <v>0</v>
      </c>
      <c r="Y20" s="248"/>
      <c r="Z20" s="248"/>
      <c r="AA20" s="248" t="s">
        <v>1</v>
      </c>
      <c r="AB20" s="248" t="s">
        <v>1</v>
      </c>
      <c r="AC20" s="248">
        <f>SUM(AC17:AC19)</f>
        <v>0</v>
      </c>
      <c r="AD20" s="248">
        <f>SUM(AD17:AD19)</f>
        <v>0</v>
      </c>
      <c r="AE20" s="248">
        <f>SUM(AE17:AE19)</f>
        <v>0</v>
      </c>
      <c r="AF20" s="248">
        <f>SUM(AF17:AF19)</f>
        <v>0</v>
      </c>
      <c r="AG20" s="248">
        <f>SUM(AG17:AG19)</f>
        <v>0</v>
      </c>
      <c r="AH20" s="248"/>
      <c r="AI20" s="248"/>
      <c r="AJ20" s="248" t="s">
        <v>1</v>
      </c>
      <c r="AK20" s="248" t="s">
        <v>1</v>
      </c>
      <c r="AL20" s="248">
        <f>SUM(AL17:AL19)</f>
        <v>0</v>
      </c>
      <c r="AM20" s="248">
        <f>SUM(AM17:AM19)</f>
        <v>0</v>
      </c>
      <c r="AN20" s="248">
        <f>SUM(AN17:AN19)</f>
        <v>0</v>
      </c>
      <c r="AO20" s="248">
        <f>SUM(AO17:AO19)</f>
        <v>0</v>
      </c>
      <c r="AP20" s="248">
        <f>SUM(AP17:AP19)</f>
        <v>0</v>
      </c>
    </row>
    <row r="21" spans="1:42" s="249" customFormat="1" ht="14.25">
      <c r="A21" s="244"/>
      <c r="B21" s="252"/>
      <c r="C21" s="248"/>
      <c r="D21" s="248"/>
      <c r="E21" s="248"/>
      <c r="F21" s="248"/>
      <c r="G21" s="248"/>
      <c r="H21" s="248"/>
      <c r="I21" s="248"/>
      <c r="J21" s="248"/>
      <c r="K21" s="248"/>
      <c r="L21" s="248"/>
      <c r="M21" s="248"/>
      <c r="N21" s="248"/>
      <c r="O21" s="248"/>
      <c r="P21" s="248"/>
      <c r="Q21" s="248"/>
      <c r="R21" s="248"/>
      <c r="S21" s="248"/>
      <c r="T21" s="248"/>
      <c r="U21" s="248"/>
      <c r="V21" s="248"/>
      <c r="W21" s="248"/>
      <c r="X21" s="248"/>
      <c r="Y21" s="248"/>
      <c r="Z21" s="248"/>
      <c r="AA21" s="248"/>
      <c r="AB21" s="248"/>
      <c r="AC21" s="248"/>
      <c r="AD21" s="248"/>
      <c r="AE21" s="248"/>
      <c r="AF21" s="248"/>
      <c r="AG21" s="248"/>
      <c r="AH21" s="248"/>
      <c r="AI21" s="248"/>
      <c r="AJ21" s="248"/>
      <c r="AK21" s="248"/>
      <c r="AL21" s="248"/>
      <c r="AM21" s="248"/>
      <c r="AN21" s="248"/>
      <c r="AO21" s="248"/>
      <c r="AP21" s="248"/>
    </row>
    <row r="22" spans="1:42" ht="14.25">
      <c r="A22" s="244" t="s">
        <v>4</v>
      </c>
      <c r="B22" s="245" t="s">
        <v>494</v>
      </c>
      <c r="C22" s="258"/>
      <c r="D22" s="258"/>
      <c r="E22" s="258"/>
      <c r="F22" s="246"/>
      <c r="G22" s="246"/>
      <c r="H22" s="246"/>
      <c r="I22" s="246"/>
      <c r="J22" s="246"/>
      <c r="K22" s="246"/>
      <c r="L22" s="246"/>
      <c r="M22" s="246"/>
      <c r="N22" s="246"/>
      <c r="O22" s="246"/>
      <c r="P22" s="246"/>
      <c r="Q22" s="246"/>
      <c r="R22" s="72"/>
      <c r="S22" s="246"/>
      <c r="T22" s="246"/>
      <c r="U22" s="246"/>
      <c r="V22" s="246"/>
      <c r="W22" s="109"/>
      <c r="X22" s="109"/>
      <c r="Y22" s="258"/>
      <c r="Z22" s="258"/>
      <c r="AA22" s="246"/>
      <c r="AB22" s="246"/>
      <c r="AC22" s="246"/>
      <c r="AD22" s="246"/>
      <c r="AE22" s="246"/>
      <c r="AF22" s="246"/>
      <c r="AG22" s="246"/>
      <c r="AH22" s="258"/>
      <c r="AI22" s="258"/>
      <c r="AJ22" s="246"/>
      <c r="AK22" s="246"/>
      <c r="AL22" s="246"/>
      <c r="AM22" s="246"/>
      <c r="AN22" s="246"/>
      <c r="AO22" s="246"/>
      <c r="AP22" s="246"/>
    </row>
    <row r="23" spans="1:42" ht="12" customHeight="1">
      <c r="A23" s="232"/>
      <c r="B23" s="207" t="s">
        <v>123</v>
      </c>
      <c r="C23" s="246"/>
      <c r="D23" s="246"/>
      <c r="E23" s="246"/>
      <c r="F23" s="246"/>
      <c r="G23" s="246"/>
      <c r="H23" s="246"/>
      <c r="I23" s="207"/>
      <c r="J23" s="207"/>
      <c r="K23" s="207"/>
      <c r="L23" s="207"/>
      <c r="M23" s="207"/>
      <c r="N23" s="246"/>
      <c r="O23" s="207"/>
      <c r="P23" s="207"/>
      <c r="Q23" s="207"/>
      <c r="R23" s="207"/>
      <c r="S23" s="207"/>
      <c r="T23" s="207"/>
      <c r="U23" s="207"/>
      <c r="V23" s="207"/>
      <c r="W23" s="109"/>
      <c r="X23" s="109"/>
      <c r="Y23" s="246"/>
      <c r="Z23" s="246"/>
      <c r="AA23" s="246"/>
      <c r="AB23" s="246"/>
      <c r="AC23" s="207"/>
      <c r="AD23" s="207"/>
      <c r="AE23" s="207"/>
      <c r="AF23" s="207"/>
      <c r="AG23" s="207"/>
      <c r="AH23" s="246"/>
      <c r="AI23" s="246"/>
      <c r="AJ23" s="246"/>
      <c r="AK23" s="246"/>
      <c r="AL23" s="207"/>
      <c r="AM23" s="207"/>
      <c r="AN23" s="207"/>
      <c r="AO23" s="207"/>
      <c r="AP23" s="207"/>
    </row>
    <row r="24" spans="1:42" ht="13.5">
      <c r="A24" s="232"/>
      <c r="B24" s="207" t="s">
        <v>226</v>
      </c>
      <c r="C24" s="246"/>
      <c r="D24" s="246"/>
      <c r="E24" s="246"/>
      <c r="F24" s="246"/>
      <c r="G24" s="246"/>
      <c r="H24" s="246"/>
      <c r="I24" s="207"/>
      <c r="J24" s="207"/>
      <c r="K24" s="207"/>
      <c r="L24" s="207"/>
      <c r="M24" s="207"/>
      <c r="N24" s="246"/>
      <c r="O24" s="207"/>
      <c r="P24" s="207"/>
      <c r="Q24" s="207"/>
      <c r="R24" s="207"/>
      <c r="S24" s="207"/>
      <c r="T24" s="207"/>
      <c r="U24" s="207"/>
      <c r="V24" s="207"/>
      <c r="W24" s="109"/>
      <c r="X24" s="109"/>
      <c r="Y24" s="246"/>
      <c r="Z24" s="246"/>
      <c r="AA24" s="246"/>
      <c r="AB24" s="246"/>
      <c r="AC24" s="207"/>
      <c r="AD24" s="207"/>
      <c r="AE24" s="207"/>
      <c r="AF24" s="207"/>
      <c r="AG24" s="207"/>
      <c r="AH24" s="246"/>
      <c r="AI24" s="246"/>
      <c r="AJ24" s="246"/>
      <c r="AK24" s="246"/>
      <c r="AL24" s="207"/>
      <c r="AM24" s="207"/>
      <c r="AN24" s="207"/>
      <c r="AO24" s="207"/>
      <c r="AP24" s="207"/>
    </row>
    <row r="25" spans="1:42" ht="13.5">
      <c r="A25" s="232"/>
      <c r="B25" s="207" t="s">
        <v>227</v>
      </c>
      <c r="C25" s="246"/>
      <c r="D25" s="246"/>
      <c r="E25" s="246"/>
      <c r="F25" s="246"/>
      <c r="G25" s="246"/>
      <c r="H25" s="246"/>
      <c r="I25" s="207"/>
      <c r="J25" s="207"/>
      <c r="K25" s="207"/>
      <c r="L25" s="207"/>
      <c r="M25" s="207"/>
      <c r="N25" s="246"/>
      <c r="O25" s="207"/>
      <c r="P25" s="207"/>
      <c r="Q25" s="207"/>
      <c r="R25" s="207"/>
      <c r="S25" s="207"/>
      <c r="T25" s="207"/>
      <c r="U25" s="207"/>
      <c r="V25" s="207"/>
      <c r="W25" s="109"/>
      <c r="X25" s="109"/>
      <c r="Y25" s="246"/>
      <c r="Z25" s="246"/>
      <c r="AA25" s="246"/>
      <c r="AB25" s="246"/>
      <c r="AC25" s="207"/>
      <c r="AD25" s="207"/>
      <c r="AE25" s="207"/>
      <c r="AF25" s="207"/>
      <c r="AG25" s="207"/>
      <c r="AH25" s="246"/>
      <c r="AI25" s="246"/>
      <c r="AJ25" s="246"/>
      <c r="AK25" s="246"/>
      <c r="AL25" s="207"/>
      <c r="AM25" s="207"/>
      <c r="AN25" s="207"/>
      <c r="AO25" s="207"/>
      <c r="AP25" s="207"/>
    </row>
    <row r="26" spans="1:42" ht="13.5">
      <c r="A26" s="232">
        <v>1</v>
      </c>
      <c r="B26" s="104"/>
      <c r="C26" s="232"/>
      <c r="D26" s="232"/>
      <c r="E26" s="232"/>
      <c r="F26" s="232"/>
      <c r="G26" s="232"/>
      <c r="H26" s="232"/>
      <c r="I26" s="104"/>
      <c r="J26" s="104"/>
      <c r="K26" s="104"/>
      <c r="L26" s="104"/>
      <c r="M26" s="246">
        <f>J26+K26+L26</f>
        <v>0</v>
      </c>
      <c r="N26" s="232"/>
      <c r="O26" s="104"/>
      <c r="P26" s="232"/>
      <c r="Q26" s="232"/>
      <c r="R26" s="232"/>
      <c r="S26" s="246">
        <f>P26+Q26+R26</f>
        <v>0</v>
      </c>
      <c r="T26" s="246">
        <f aca="true" t="shared" si="4" ref="T26:W28">I26-O26</f>
        <v>0</v>
      </c>
      <c r="U26" s="246">
        <f t="shared" si="4"/>
        <v>0</v>
      </c>
      <c r="V26" s="246">
        <f t="shared" si="4"/>
        <v>0</v>
      </c>
      <c r="W26" s="246">
        <f t="shared" si="4"/>
        <v>0</v>
      </c>
      <c r="X26" s="246">
        <f>U26+V26+W26</f>
        <v>0</v>
      </c>
      <c r="Y26" s="232"/>
      <c r="Z26" s="232"/>
      <c r="AA26" s="232"/>
      <c r="AB26" s="232"/>
      <c r="AC26" s="104"/>
      <c r="AD26" s="104"/>
      <c r="AE26" s="104"/>
      <c r="AF26" s="104"/>
      <c r="AG26" s="246">
        <f>AD26+AE26+AF26</f>
        <v>0</v>
      </c>
      <c r="AH26" s="232"/>
      <c r="AI26" s="232"/>
      <c r="AJ26" s="232"/>
      <c r="AK26" s="232"/>
      <c r="AL26" s="104"/>
      <c r="AM26" s="104"/>
      <c r="AN26" s="104"/>
      <c r="AO26" s="104"/>
      <c r="AP26" s="246">
        <f>AM26+AN26+AO26</f>
        <v>0</v>
      </c>
    </row>
    <row r="27" spans="1:42" ht="13.5">
      <c r="A27" s="232">
        <v>2</v>
      </c>
      <c r="B27" s="104"/>
      <c r="C27" s="232"/>
      <c r="D27" s="232"/>
      <c r="E27" s="232"/>
      <c r="F27" s="232"/>
      <c r="G27" s="232"/>
      <c r="H27" s="232"/>
      <c r="I27" s="104"/>
      <c r="J27" s="104"/>
      <c r="K27" s="104"/>
      <c r="L27" s="104"/>
      <c r="M27" s="246">
        <f>J27+K27+L27</f>
        <v>0</v>
      </c>
      <c r="N27" s="232"/>
      <c r="O27" s="104"/>
      <c r="P27" s="232"/>
      <c r="Q27" s="232"/>
      <c r="R27" s="232"/>
      <c r="S27" s="246">
        <f>P27+Q27+R27</f>
        <v>0</v>
      </c>
      <c r="T27" s="246">
        <f t="shared" si="4"/>
        <v>0</v>
      </c>
      <c r="U27" s="246">
        <f t="shared" si="4"/>
        <v>0</v>
      </c>
      <c r="V27" s="246">
        <f t="shared" si="4"/>
        <v>0</v>
      </c>
      <c r="W27" s="246">
        <f t="shared" si="4"/>
        <v>0</v>
      </c>
      <c r="X27" s="246">
        <f>U27+V27+W27</f>
        <v>0</v>
      </c>
      <c r="Y27" s="232"/>
      <c r="Z27" s="232"/>
      <c r="AA27" s="232"/>
      <c r="AB27" s="232"/>
      <c r="AC27" s="104"/>
      <c r="AD27" s="104"/>
      <c r="AE27" s="104"/>
      <c r="AF27" s="104"/>
      <c r="AG27" s="246">
        <f>AD27+AE27+AF27</f>
        <v>0</v>
      </c>
      <c r="AH27" s="232"/>
      <c r="AI27" s="232"/>
      <c r="AJ27" s="232"/>
      <c r="AK27" s="232"/>
      <c r="AL27" s="104"/>
      <c r="AM27" s="104"/>
      <c r="AN27" s="104"/>
      <c r="AO27" s="104"/>
      <c r="AP27" s="246">
        <f>AM27+AN27+AO27</f>
        <v>0</v>
      </c>
    </row>
    <row r="28" spans="1:42" ht="13.5">
      <c r="A28" s="232">
        <v>3</v>
      </c>
      <c r="B28" s="247"/>
      <c r="C28" s="232"/>
      <c r="D28" s="232"/>
      <c r="E28" s="232"/>
      <c r="F28" s="232"/>
      <c r="G28" s="232"/>
      <c r="H28" s="232"/>
      <c r="I28" s="104"/>
      <c r="J28" s="104"/>
      <c r="K28" s="104"/>
      <c r="L28" s="104"/>
      <c r="M28" s="246">
        <f>J28+K28+L28</f>
        <v>0</v>
      </c>
      <c r="N28" s="232"/>
      <c r="O28" s="104"/>
      <c r="P28" s="232"/>
      <c r="Q28" s="232"/>
      <c r="R28" s="232"/>
      <c r="S28" s="246">
        <f>P28+Q28+R28</f>
        <v>0</v>
      </c>
      <c r="T28" s="246">
        <f t="shared" si="4"/>
        <v>0</v>
      </c>
      <c r="U28" s="246">
        <f t="shared" si="4"/>
        <v>0</v>
      </c>
      <c r="V28" s="246">
        <f t="shared" si="4"/>
        <v>0</v>
      </c>
      <c r="W28" s="246">
        <f t="shared" si="4"/>
        <v>0</v>
      </c>
      <c r="X28" s="246">
        <f>U28+V28+W28</f>
        <v>0</v>
      </c>
      <c r="Y28" s="232"/>
      <c r="Z28" s="232"/>
      <c r="AA28" s="232"/>
      <c r="AB28" s="232"/>
      <c r="AC28" s="104"/>
      <c r="AD28" s="104"/>
      <c r="AE28" s="104"/>
      <c r="AF28" s="104"/>
      <c r="AG28" s="246">
        <f>AD28+AE28+AF28</f>
        <v>0</v>
      </c>
      <c r="AH28" s="232"/>
      <c r="AI28" s="232"/>
      <c r="AJ28" s="232"/>
      <c r="AK28" s="232"/>
      <c r="AL28" s="104"/>
      <c r="AM28" s="104"/>
      <c r="AN28" s="104"/>
      <c r="AO28" s="104"/>
      <c r="AP28" s="246">
        <f>AM28+AN28+AO28</f>
        <v>0</v>
      </c>
    </row>
    <row r="29" spans="1:42" s="249" customFormat="1" ht="27">
      <c r="A29" s="244"/>
      <c r="B29" s="252" t="s">
        <v>228</v>
      </c>
      <c r="C29" s="248" t="s">
        <v>1</v>
      </c>
      <c r="D29" s="248"/>
      <c r="E29" s="248"/>
      <c r="F29" s="248" t="s">
        <v>1</v>
      </c>
      <c r="G29" s="248" t="s">
        <v>1</v>
      </c>
      <c r="H29" s="248" t="s">
        <v>1</v>
      </c>
      <c r="I29" s="248">
        <f>SUM(I26:I28)</f>
        <v>0</v>
      </c>
      <c r="J29" s="248">
        <f aca="true" t="shared" si="5" ref="J29:R29">SUM(J26:J28)</f>
        <v>0</v>
      </c>
      <c r="K29" s="248">
        <f t="shared" si="5"/>
        <v>0</v>
      </c>
      <c r="L29" s="248">
        <f t="shared" si="5"/>
        <v>0</v>
      </c>
      <c r="M29" s="248">
        <f t="shared" si="5"/>
        <v>0</v>
      </c>
      <c r="N29" s="248" t="s">
        <v>1</v>
      </c>
      <c r="O29" s="248">
        <f t="shared" si="5"/>
        <v>0</v>
      </c>
      <c r="P29" s="248">
        <f t="shared" si="5"/>
        <v>0</v>
      </c>
      <c r="Q29" s="248">
        <f t="shared" si="5"/>
        <v>0</v>
      </c>
      <c r="R29" s="248">
        <f t="shared" si="5"/>
        <v>0</v>
      </c>
      <c r="S29" s="248">
        <f aca="true" t="shared" si="6" ref="S29:X29">SUM(S26:S28)</f>
        <v>0</v>
      </c>
      <c r="T29" s="248">
        <f t="shared" si="6"/>
        <v>0</v>
      </c>
      <c r="U29" s="248">
        <f t="shared" si="6"/>
        <v>0</v>
      </c>
      <c r="V29" s="248">
        <f t="shared" si="6"/>
        <v>0</v>
      </c>
      <c r="W29" s="248">
        <f t="shared" si="6"/>
        <v>0</v>
      </c>
      <c r="X29" s="248">
        <f t="shared" si="6"/>
        <v>0</v>
      </c>
      <c r="Y29" s="248"/>
      <c r="Z29" s="248"/>
      <c r="AA29" s="248" t="s">
        <v>1</v>
      </c>
      <c r="AB29" s="248" t="s">
        <v>1</v>
      </c>
      <c r="AC29" s="248">
        <f>SUM(AC26:AC28)</f>
        <v>0</v>
      </c>
      <c r="AD29" s="248">
        <f>SUM(AD26:AD28)</f>
        <v>0</v>
      </c>
      <c r="AE29" s="248">
        <f>SUM(AE26:AE28)</f>
        <v>0</v>
      </c>
      <c r="AF29" s="248">
        <f>SUM(AF26:AF28)</f>
        <v>0</v>
      </c>
      <c r="AG29" s="248">
        <f>SUM(AG26:AG28)</f>
        <v>0</v>
      </c>
      <c r="AH29" s="248"/>
      <c r="AI29" s="248"/>
      <c r="AJ29" s="248" t="s">
        <v>1</v>
      </c>
      <c r="AK29" s="248" t="s">
        <v>1</v>
      </c>
      <c r="AL29" s="248">
        <f>SUM(AL26:AL28)</f>
        <v>0</v>
      </c>
      <c r="AM29" s="248">
        <f>SUM(AM26:AM28)</f>
        <v>0</v>
      </c>
      <c r="AN29" s="248">
        <f>SUM(AN26:AN28)</f>
        <v>0</v>
      </c>
      <c r="AO29" s="248">
        <f>SUM(AO26:AO28)</f>
        <v>0</v>
      </c>
      <c r="AP29" s="248">
        <f>SUM(AP26:AP28)</f>
        <v>0</v>
      </c>
    </row>
    <row r="30" spans="1:42" ht="13.5">
      <c r="A30" s="232"/>
      <c r="B30" s="207" t="s">
        <v>227</v>
      </c>
      <c r="C30" s="246"/>
      <c r="D30" s="246"/>
      <c r="E30" s="246"/>
      <c r="F30" s="246"/>
      <c r="G30" s="246"/>
      <c r="H30" s="246"/>
      <c r="I30" s="207"/>
      <c r="J30" s="207"/>
      <c r="K30" s="207"/>
      <c r="L30" s="207"/>
      <c r="M30" s="207"/>
      <c r="N30" s="246"/>
      <c r="O30" s="207"/>
      <c r="P30" s="207"/>
      <c r="Q30" s="207"/>
      <c r="R30" s="207"/>
      <c r="S30" s="207"/>
      <c r="T30" s="207"/>
      <c r="U30" s="207"/>
      <c r="V30" s="207"/>
      <c r="W30" s="109"/>
      <c r="X30" s="109"/>
      <c r="Y30" s="246"/>
      <c r="Z30" s="246"/>
      <c r="AA30" s="246"/>
      <c r="AB30" s="246"/>
      <c r="AC30" s="207"/>
      <c r="AD30" s="207"/>
      <c r="AE30" s="207"/>
      <c r="AF30" s="207"/>
      <c r="AG30" s="207"/>
      <c r="AH30" s="246"/>
      <c r="AI30" s="246"/>
      <c r="AJ30" s="246"/>
      <c r="AK30" s="246"/>
      <c r="AL30" s="207"/>
      <c r="AM30" s="207"/>
      <c r="AN30" s="207"/>
      <c r="AO30" s="207"/>
      <c r="AP30" s="207"/>
    </row>
    <row r="31" spans="1:42" ht="13.5">
      <c r="A31" s="232">
        <v>1</v>
      </c>
      <c r="B31" s="104"/>
      <c r="C31" s="232"/>
      <c r="D31" s="232"/>
      <c r="E31" s="232"/>
      <c r="F31" s="232"/>
      <c r="G31" s="232"/>
      <c r="H31" s="232"/>
      <c r="I31" s="104"/>
      <c r="J31" s="104"/>
      <c r="K31" s="104"/>
      <c r="L31" s="104"/>
      <c r="M31" s="246">
        <f>J31+K31+L31</f>
        <v>0</v>
      </c>
      <c r="N31" s="232"/>
      <c r="O31" s="104"/>
      <c r="P31" s="232"/>
      <c r="Q31" s="232"/>
      <c r="R31" s="232"/>
      <c r="S31" s="246">
        <f>P31+Q31+R31</f>
        <v>0</v>
      </c>
      <c r="T31" s="246">
        <f aca="true" t="shared" si="7" ref="T31:W33">I31-O31</f>
        <v>0</v>
      </c>
      <c r="U31" s="246">
        <f t="shared" si="7"/>
        <v>0</v>
      </c>
      <c r="V31" s="246">
        <f t="shared" si="7"/>
        <v>0</v>
      </c>
      <c r="W31" s="246">
        <f t="shared" si="7"/>
        <v>0</v>
      </c>
      <c r="X31" s="246">
        <f>U31+V31+W31</f>
        <v>0</v>
      </c>
      <c r="Y31" s="232"/>
      <c r="Z31" s="232"/>
      <c r="AA31" s="232"/>
      <c r="AB31" s="232"/>
      <c r="AC31" s="104"/>
      <c r="AD31" s="104"/>
      <c r="AE31" s="104"/>
      <c r="AF31" s="104"/>
      <c r="AG31" s="246">
        <f>AD31+AE31+AF31</f>
        <v>0</v>
      </c>
      <c r="AH31" s="232"/>
      <c r="AI31" s="232"/>
      <c r="AJ31" s="232"/>
      <c r="AK31" s="232"/>
      <c r="AL31" s="104"/>
      <c r="AM31" s="104"/>
      <c r="AN31" s="104"/>
      <c r="AO31" s="104"/>
      <c r="AP31" s="246">
        <f>AM31+AN31+AO31</f>
        <v>0</v>
      </c>
    </row>
    <row r="32" spans="1:42" ht="13.5">
      <c r="A32" s="232">
        <v>2</v>
      </c>
      <c r="B32" s="104"/>
      <c r="C32" s="232"/>
      <c r="D32" s="232"/>
      <c r="E32" s="232"/>
      <c r="F32" s="232"/>
      <c r="G32" s="232"/>
      <c r="H32" s="232"/>
      <c r="I32" s="104"/>
      <c r="J32" s="104"/>
      <c r="K32" s="104"/>
      <c r="L32" s="104"/>
      <c r="M32" s="246">
        <f>J32+K32+L32</f>
        <v>0</v>
      </c>
      <c r="N32" s="232"/>
      <c r="O32" s="104"/>
      <c r="P32" s="232"/>
      <c r="Q32" s="232"/>
      <c r="R32" s="232"/>
      <c r="S32" s="246">
        <f>P32+Q32+R32</f>
        <v>0</v>
      </c>
      <c r="T32" s="246">
        <f t="shared" si="7"/>
        <v>0</v>
      </c>
      <c r="U32" s="246">
        <f t="shared" si="7"/>
        <v>0</v>
      </c>
      <c r="V32" s="246">
        <f t="shared" si="7"/>
        <v>0</v>
      </c>
      <c r="W32" s="246">
        <f t="shared" si="7"/>
        <v>0</v>
      </c>
      <c r="X32" s="246">
        <f>U32+V32+W32</f>
        <v>0</v>
      </c>
      <c r="Y32" s="232"/>
      <c r="Z32" s="232"/>
      <c r="AA32" s="232"/>
      <c r="AB32" s="232"/>
      <c r="AC32" s="104"/>
      <c r="AD32" s="104"/>
      <c r="AE32" s="104"/>
      <c r="AF32" s="104"/>
      <c r="AG32" s="246">
        <f>AD32+AE32+AF32</f>
        <v>0</v>
      </c>
      <c r="AH32" s="232"/>
      <c r="AI32" s="232"/>
      <c r="AJ32" s="232"/>
      <c r="AK32" s="232"/>
      <c r="AL32" s="104"/>
      <c r="AM32" s="104"/>
      <c r="AN32" s="104"/>
      <c r="AO32" s="104"/>
      <c r="AP32" s="246">
        <f>AM32+AN32+AO32</f>
        <v>0</v>
      </c>
    </row>
    <row r="33" spans="1:42" ht="13.5">
      <c r="A33" s="232">
        <v>3</v>
      </c>
      <c r="B33" s="247"/>
      <c r="C33" s="232"/>
      <c r="D33" s="232"/>
      <c r="E33" s="232"/>
      <c r="F33" s="232"/>
      <c r="G33" s="232"/>
      <c r="H33" s="232"/>
      <c r="I33" s="104"/>
      <c r="J33" s="104"/>
      <c r="K33" s="104"/>
      <c r="L33" s="104"/>
      <c r="M33" s="246">
        <f>J33+K33+L33</f>
        <v>0</v>
      </c>
      <c r="N33" s="232"/>
      <c r="O33" s="104"/>
      <c r="P33" s="232"/>
      <c r="Q33" s="232"/>
      <c r="R33" s="232"/>
      <c r="S33" s="246">
        <f>P33+Q33+R33</f>
        <v>0</v>
      </c>
      <c r="T33" s="246">
        <f t="shared" si="7"/>
        <v>0</v>
      </c>
      <c r="U33" s="246">
        <f t="shared" si="7"/>
        <v>0</v>
      </c>
      <c r="V33" s="246">
        <f t="shared" si="7"/>
        <v>0</v>
      </c>
      <c r="W33" s="246">
        <f t="shared" si="7"/>
        <v>0</v>
      </c>
      <c r="X33" s="246">
        <f>U33+V33+W33</f>
        <v>0</v>
      </c>
      <c r="Y33" s="232"/>
      <c r="Z33" s="232"/>
      <c r="AA33" s="232"/>
      <c r="AB33" s="232"/>
      <c r="AC33" s="104"/>
      <c r="AD33" s="104"/>
      <c r="AE33" s="104"/>
      <c r="AF33" s="104"/>
      <c r="AG33" s="246">
        <f>AD33+AE33+AF33</f>
        <v>0</v>
      </c>
      <c r="AH33" s="232"/>
      <c r="AI33" s="232"/>
      <c r="AJ33" s="232"/>
      <c r="AK33" s="232"/>
      <c r="AL33" s="104"/>
      <c r="AM33" s="104"/>
      <c r="AN33" s="104"/>
      <c r="AO33" s="104"/>
      <c r="AP33" s="246">
        <f>AM33+AN33+AO33</f>
        <v>0</v>
      </c>
    </row>
    <row r="34" spans="1:42" s="249" customFormat="1" ht="27">
      <c r="A34" s="244"/>
      <c r="B34" s="252" t="s">
        <v>228</v>
      </c>
      <c r="C34" s="248" t="s">
        <v>1</v>
      </c>
      <c r="D34" s="248"/>
      <c r="E34" s="248"/>
      <c r="F34" s="248" t="s">
        <v>1</v>
      </c>
      <c r="G34" s="248" t="s">
        <v>1</v>
      </c>
      <c r="H34" s="248" t="s">
        <v>1</v>
      </c>
      <c r="I34" s="248">
        <f aca="true" t="shared" si="8" ref="I34:R34">SUM(I31:I33)</f>
        <v>0</v>
      </c>
      <c r="J34" s="248">
        <f t="shared" si="8"/>
        <v>0</v>
      </c>
      <c r="K34" s="248">
        <f t="shared" si="8"/>
        <v>0</v>
      </c>
      <c r="L34" s="248">
        <f t="shared" si="8"/>
        <v>0</v>
      </c>
      <c r="M34" s="248">
        <f t="shared" si="8"/>
        <v>0</v>
      </c>
      <c r="N34" s="248" t="s">
        <v>1</v>
      </c>
      <c r="O34" s="248">
        <f t="shared" si="8"/>
        <v>0</v>
      </c>
      <c r="P34" s="248">
        <f t="shared" si="8"/>
        <v>0</v>
      </c>
      <c r="Q34" s="248">
        <f t="shared" si="8"/>
        <v>0</v>
      </c>
      <c r="R34" s="248">
        <f t="shared" si="8"/>
        <v>0</v>
      </c>
      <c r="S34" s="248">
        <f aca="true" t="shared" si="9" ref="S34:X34">SUM(S31:S33)</f>
        <v>0</v>
      </c>
      <c r="T34" s="248">
        <f t="shared" si="9"/>
        <v>0</v>
      </c>
      <c r="U34" s="248">
        <f t="shared" si="9"/>
        <v>0</v>
      </c>
      <c r="V34" s="248">
        <f t="shared" si="9"/>
        <v>0</v>
      </c>
      <c r="W34" s="248">
        <f t="shared" si="9"/>
        <v>0</v>
      </c>
      <c r="X34" s="248">
        <f t="shared" si="9"/>
        <v>0</v>
      </c>
      <c r="Y34" s="248"/>
      <c r="Z34" s="248"/>
      <c r="AA34" s="248" t="s">
        <v>1</v>
      </c>
      <c r="AB34" s="248" t="s">
        <v>1</v>
      </c>
      <c r="AC34" s="248">
        <f>SUM(AC31:AC33)</f>
        <v>0</v>
      </c>
      <c r="AD34" s="248">
        <f>SUM(AD31:AD33)</f>
        <v>0</v>
      </c>
      <c r="AE34" s="248">
        <f>SUM(AE31:AE33)</f>
        <v>0</v>
      </c>
      <c r="AF34" s="248">
        <f>SUM(AF31:AF33)</f>
        <v>0</v>
      </c>
      <c r="AG34" s="248">
        <f>SUM(AG31:AG33)</f>
        <v>0</v>
      </c>
      <c r="AH34" s="248"/>
      <c r="AI34" s="248"/>
      <c r="AJ34" s="248" t="s">
        <v>1</v>
      </c>
      <c r="AK34" s="248" t="s">
        <v>1</v>
      </c>
      <c r="AL34" s="248">
        <f>SUM(AL31:AL33)</f>
        <v>0</v>
      </c>
      <c r="AM34" s="248">
        <f>SUM(AM31:AM33)</f>
        <v>0</v>
      </c>
      <c r="AN34" s="248">
        <f>SUM(AN31:AN33)</f>
        <v>0</v>
      </c>
      <c r="AO34" s="248">
        <f>SUM(AO31:AO33)</f>
        <v>0</v>
      </c>
      <c r="AP34" s="248">
        <f>SUM(AP31:AP33)</f>
        <v>0</v>
      </c>
    </row>
    <row r="35" spans="1:42" s="249" customFormat="1" ht="27">
      <c r="A35" s="244"/>
      <c r="B35" s="252" t="s">
        <v>241</v>
      </c>
      <c r="C35" s="248" t="s">
        <v>1</v>
      </c>
      <c r="D35" s="248"/>
      <c r="E35" s="248"/>
      <c r="F35" s="248" t="s">
        <v>1</v>
      </c>
      <c r="G35" s="248" t="s">
        <v>1</v>
      </c>
      <c r="H35" s="248" t="s">
        <v>1</v>
      </c>
      <c r="I35" s="248">
        <f>I29+I34</f>
        <v>0</v>
      </c>
      <c r="J35" s="248">
        <f aca="true" t="shared" si="10" ref="J35:R35">J29+J34</f>
        <v>0</v>
      </c>
      <c r="K35" s="248">
        <f t="shared" si="10"/>
        <v>0</v>
      </c>
      <c r="L35" s="248">
        <f t="shared" si="10"/>
        <v>0</v>
      </c>
      <c r="M35" s="248">
        <f t="shared" si="10"/>
        <v>0</v>
      </c>
      <c r="N35" s="248" t="s">
        <v>1</v>
      </c>
      <c r="O35" s="248">
        <f t="shared" si="10"/>
        <v>0</v>
      </c>
      <c r="P35" s="248">
        <f t="shared" si="10"/>
        <v>0</v>
      </c>
      <c r="Q35" s="248">
        <f t="shared" si="10"/>
        <v>0</v>
      </c>
      <c r="R35" s="248">
        <f t="shared" si="10"/>
        <v>0</v>
      </c>
      <c r="S35" s="248">
        <f aca="true" t="shared" si="11" ref="S35:X35">S29+S34</f>
        <v>0</v>
      </c>
      <c r="T35" s="248">
        <f t="shared" si="11"/>
        <v>0</v>
      </c>
      <c r="U35" s="248">
        <f t="shared" si="11"/>
        <v>0</v>
      </c>
      <c r="V35" s="248">
        <f t="shared" si="11"/>
        <v>0</v>
      </c>
      <c r="W35" s="248">
        <f t="shared" si="11"/>
        <v>0</v>
      </c>
      <c r="X35" s="248">
        <f t="shared" si="11"/>
        <v>0</v>
      </c>
      <c r="Y35" s="248"/>
      <c r="Z35" s="248"/>
      <c r="AA35" s="248" t="s">
        <v>1</v>
      </c>
      <c r="AB35" s="248" t="s">
        <v>1</v>
      </c>
      <c r="AC35" s="248">
        <f>AC29+AC34</f>
        <v>0</v>
      </c>
      <c r="AD35" s="248">
        <f>AD29+AD34</f>
        <v>0</v>
      </c>
      <c r="AE35" s="248">
        <f>AE29+AE34</f>
        <v>0</v>
      </c>
      <c r="AF35" s="248">
        <f>AF29+AF34</f>
        <v>0</v>
      </c>
      <c r="AG35" s="248">
        <f>AG29+AG34</f>
        <v>0</v>
      </c>
      <c r="AH35" s="248"/>
      <c r="AI35" s="248"/>
      <c r="AJ35" s="248" t="s">
        <v>1</v>
      </c>
      <c r="AK35" s="248" t="s">
        <v>1</v>
      </c>
      <c r="AL35" s="248">
        <f>AL29+AL34</f>
        <v>0</v>
      </c>
      <c r="AM35" s="248">
        <f>AM29+AM34</f>
        <v>0</v>
      </c>
      <c r="AN35" s="248">
        <f>AN29+AN34</f>
        <v>0</v>
      </c>
      <c r="AO35" s="248">
        <f>AO29+AO34</f>
        <v>0</v>
      </c>
      <c r="AP35" s="248">
        <f>AP29+AP34</f>
        <v>0</v>
      </c>
    </row>
    <row r="36" spans="1:42" ht="13.5">
      <c r="A36" s="232"/>
      <c r="B36" s="247"/>
      <c r="C36" s="258"/>
      <c r="D36" s="258"/>
      <c r="E36" s="258"/>
      <c r="F36" s="246"/>
      <c r="G36" s="246"/>
      <c r="H36" s="246"/>
      <c r="I36" s="246"/>
      <c r="J36" s="246"/>
      <c r="K36" s="246"/>
      <c r="L36" s="246"/>
      <c r="M36" s="246"/>
      <c r="N36" s="246"/>
      <c r="O36" s="246"/>
      <c r="P36" s="246"/>
      <c r="Q36" s="246"/>
      <c r="R36" s="72"/>
      <c r="S36" s="246"/>
      <c r="T36" s="246"/>
      <c r="U36" s="246"/>
      <c r="V36" s="246"/>
      <c r="W36" s="109"/>
      <c r="X36" s="109"/>
      <c r="Y36" s="258"/>
      <c r="Z36" s="258"/>
      <c r="AA36" s="246"/>
      <c r="AB36" s="246"/>
      <c r="AC36" s="246"/>
      <c r="AD36" s="246"/>
      <c r="AE36" s="246"/>
      <c r="AF36" s="246"/>
      <c r="AG36" s="246"/>
      <c r="AH36" s="258"/>
      <c r="AI36" s="258"/>
      <c r="AJ36" s="246"/>
      <c r="AK36" s="246"/>
      <c r="AL36" s="246"/>
      <c r="AM36" s="246"/>
      <c r="AN36" s="246"/>
      <c r="AO36" s="246"/>
      <c r="AP36" s="246"/>
    </row>
    <row r="37" spans="1:42" ht="27">
      <c r="A37" s="244" t="s">
        <v>341</v>
      </c>
      <c r="B37" s="245" t="s">
        <v>492</v>
      </c>
      <c r="C37" s="258"/>
      <c r="D37" s="258"/>
      <c r="E37" s="258"/>
      <c r="F37" s="246"/>
      <c r="G37" s="246"/>
      <c r="H37" s="246"/>
      <c r="I37" s="246"/>
      <c r="J37" s="246"/>
      <c r="K37" s="246"/>
      <c r="L37" s="246"/>
      <c r="M37" s="246"/>
      <c r="N37" s="246"/>
      <c r="O37" s="246"/>
      <c r="P37" s="246"/>
      <c r="Q37" s="246"/>
      <c r="R37" s="72"/>
      <c r="S37" s="246"/>
      <c r="T37" s="246"/>
      <c r="U37" s="246"/>
      <c r="V37" s="246"/>
      <c r="W37" s="109"/>
      <c r="X37" s="109"/>
      <c r="Y37" s="258"/>
      <c r="Z37" s="258"/>
      <c r="AA37" s="246"/>
      <c r="AB37" s="246"/>
      <c r="AC37" s="246"/>
      <c r="AD37" s="246"/>
      <c r="AE37" s="246"/>
      <c r="AF37" s="246"/>
      <c r="AG37" s="246"/>
      <c r="AH37" s="258"/>
      <c r="AI37" s="258"/>
      <c r="AJ37" s="246"/>
      <c r="AK37" s="246"/>
      <c r="AL37" s="246"/>
      <c r="AM37" s="246"/>
      <c r="AN37" s="246"/>
      <c r="AO37" s="246"/>
      <c r="AP37" s="246"/>
    </row>
    <row r="38" spans="1:42" ht="12" customHeight="1">
      <c r="A38" s="232"/>
      <c r="B38" s="207" t="s">
        <v>123</v>
      </c>
      <c r="C38" s="246"/>
      <c r="D38" s="246"/>
      <c r="E38" s="246"/>
      <c r="F38" s="246"/>
      <c r="G38" s="246"/>
      <c r="H38" s="246"/>
      <c r="I38" s="207"/>
      <c r="J38" s="207"/>
      <c r="K38" s="207"/>
      <c r="L38" s="207"/>
      <c r="M38" s="207"/>
      <c r="N38" s="246"/>
      <c r="O38" s="207"/>
      <c r="P38" s="207"/>
      <c r="Q38" s="207"/>
      <c r="R38" s="207"/>
      <c r="S38" s="207"/>
      <c r="T38" s="207"/>
      <c r="U38" s="207"/>
      <c r="V38" s="207"/>
      <c r="W38" s="109"/>
      <c r="X38" s="109"/>
      <c r="Y38" s="246"/>
      <c r="Z38" s="246"/>
      <c r="AA38" s="246"/>
      <c r="AB38" s="246"/>
      <c r="AC38" s="207"/>
      <c r="AD38" s="207"/>
      <c r="AE38" s="207"/>
      <c r="AF38" s="207"/>
      <c r="AG38" s="207"/>
      <c r="AH38" s="246"/>
      <c r="AI38" s="246"/>
      <c r="AJ38" s="246"/>
      <c r="AK38" s="246"/>
      <c r="AL38" s="207"/>
      <c r="AM38" s="207"/>
      <c r="AN38" s="207"/>
      <c r="AO38" s="207"/>
      <c r="AP38" s="207"/>
    </row>
    <row r="39" spans="1:42" ht="13.5">
      <c r="A39" s="232"/>
      <c r="B39" s="207" t="s">
        <v>226</v>
      </c>
      <c r="C39" s="246"/>
      <c r="D39" s="246"/>
      <c r="E39" s="246"/>
      <c r="F39" s="246"/>
      <c r="G39" s="246"/>
      <c r="H39" s="246"/>
      <c r="I39" s="207"/>
      <c r="J39" s="207"/>
      <c r="K39" s="207"/>
      <c r="L39" s="207"/>
      <c r="M39" s="207"/>
      <c r="N39" s="246"/>
      <c r="O39" s="207"/>
      <c r="P39" s="207"/>
      <c r="Q39" s="207"/>
      <c r="R39" s="207"/>
      <c r="S39" s="207"/>
      <c r="T39" s="207"/>
      <c r="U39" s="207"/>
      <c r="V39" s="207"/>
      <c r="W39" s="109"/>
      <c r="X39" s="109"/>
      <c r="Y39" s="246"/>
      <c r="Z39" s="246"/>
      <c r="AA39" s="246"/>
      <c r="AB39" s="246"/>
      <c r="AC39" s="207"/>
      <c r="AD39" s="207"/>
      <c r="AE39" s="207"/>
      <c r="AF39" s="207"/>
      <c r="AG39" s="207"/>
      <c r="AH39" s="246"/>
      <c r="AI39" s="246"/>
      <c r="AJ39" s="246"/>
      <c r="AK39" s="246"/>
      <c r="AL39" s="207"/>
      <c r="AM39" s="207"/>
      <c r="AN39" s="207"/>
      <c r="AO39" s="207"/>
      <c r="AP39" s="207"/>
    </row>
    <row r="40" spans="1:42" ht="13.5">
      <c r="A40" s="232"/>
      <c r="B40" s="207" t="s">
        <v>227</v>
      </c>
      <c r="C40" s="246"/>
      <c r="D40" s="246"/>
      <c r="E40" s="246"/>
      <c r="F40" s="246"/>
      <c r="G40" s="246"/>
      <c r="H40" s="246"/>
      <c r="I40" s="207"/>
      <c r="J40" s="207"/>
      <c r="K40" s="207"/>
      <c r="L40" s="207"/>
      <c r="M40" s="207"/>
      <c r="N40" s="246"/>
      <c r="O40" s="207"/>
      <c r="P40" s="207"/>
      <c r="Q40" s="207"/>
      <c r="R40" s="207"/>
      <c r="S40" s="207"/>
      <c r="T40" s="207"/>
      <c r="U40" s="207"/>
      <c r="V40" s="207"/>
      <c r="W40" s="109"/>
      <c r="X40" s="109"/>
      <c r="Y40" s="246"/>
      <c r="Z40" s="246"/>
      <c r="AA40" s="246"/>
      <c r="AB40" s="246"/>
      <c r="AC40" s="207"/>
      <c r="AD40" s="207"/>
      <c r="AE40" s="207"/>
      <c r="AF40" s="207"/>
      <c r="AG40" s="207"/>
      <c r="AH40" s="246"/>
      <c r="AI40" s="246"/>
      <c r="AJ40" s="246"/>
      <c r="AK40" s="246"/>
      <c r="AL40" s="207"/>
      <c r="AM40" s="207"/>
      <c r="AN40" s="207"/>
      <c r="AO40" s="207"/>
      <c r="AP40" s="207"/>
    </row>
    <row r="41" spans="1:42" ht="13.5">
      <c r="A41" s="232">
        <v>1</v>
      </c>
      <c r="B41" s="104"/>
      <c r="C41" s="232"/>
      <c r="D41" s="232"/>
      <c r="E41" s="232"/>
      <c r="F41" s="232"/>
      <c r="G41" s="232"/>
      <c r="H41" s="232"/>
      <c r="I41" s="104"/>
      <c r="J41" s="104"/>
      <c r="K41" s="104"/>
      <c r="L41" s="104"/>
      <c r="M41" s="246">
        <f>J41+K41+L41</f>
        <v>0</v>
      </c>
      <c r="N41" s="232"/>
      <c r="O41" s="104"/>
      <c r="P41" s="232"/>
      <c r="Q41" s="232"/>
      <c r="R41" s="232"/>
      <c r="S41" s="246">
        <f>P41+Q41+R41</f>
        <v>0</v>
      </c>
      <c r="T41" s="246">
        <f aca="true" t="shared" si="12" ref="T41:W43">I41-O41</f>
        <v>0</v>
      </c>
      <c r="U41" s="246">
        <f t="shared" si="12"/>
        <v>0</v>
      </c>
      <c r="V41" s="246">
        <f t="shared" si="12"/>
        <v>0</v>
      </c>
      <c r="W41" s="246">
        <f t="shared" si="12"/>
        <v>0</v>
      </c>
      <c r="X41" s="246">
        <f>U41+V41+W41</f>
        <v>0</v>
      </c>
      <c r="Y41" s="232"/>
      <c r="Z41" s="232"/>
      <c r="AA41" s="232"/>
      <c r="AB41" s="232"/>
      <c r="AC41" s="104"/>
      <c r="AD41" s="104"/>
      <c r="AE41" s="104"/>
      <c r="AF41" s="104"/>
      <c r="AG41" s="246">
        <f>AD41+AE41+AF41</f>
        <v>0</v>
      </c>
      <c r="AH41" s="232"/>
      <c r="AI41" s="232"/>
      <c r="AJ41" s="232"/>
      <c r="AK41" s="232"/>
      <c r="AL41" s="104"/>
      <c r="AM41" s="104"/>
      <c r="AN41" s="104"/>
      <c r="AO41" s="104"/>
      <c r="AP41" s="246">
        <f>AM41+AN41+AO41</f>
        <v>0</v>
      </c>
    </row>
    <row r="42" spans="1:42" ht="13.5">
      <c r="A42" s="232">
        <v>2</v>
      </c>
      <c r="B42" s="104"/>
      <c r="C42" s="232"/>
      <c r="D42" s="232"/>
      <c r="E42" s="232"/>
      <c r="F42" s="232"/>
      <c r="G42" s="232"/>
      <c r="H42" s="232"/>
      <c r="I42" s="104"/>
      <c r="J42" s="104"/>
      <c r="K42" s="104"/>
      <c r="L42" s="104"/>
      <c r="M42" s="246">
        <f>J42+K42+L42</f>
        <v>0</v>
      </c>
      <c r="N42" s="232"/>
      <c r="O42" s="104"/>
      <c r="P42" s="232"/>
      <c r="Q42" s="232"/>
      <c r="R42" s="232"/>
      <c r="S42" s="246">
        <f>P42+Q42+R42</f>
        <v>0</v>
      </c>
      <c r="T42" s="246">
        <f t="shared" si="12"/>
        <v>0</v>
      </c>
      <c r="U42" s="246">
        <f t="shared" si="12"/>
        <v>0</v>
      </c>
      <c r="V42" s="246">
        <f t="shared" si="12"/>
        <v>0</v>
      </c>
      <c r="W42" s="246">
        <f t="shared" si="12"/>
        <v>0</v>
      </c>
      <c r="X42" s="246">
        <f>U42+V42+W42</f>
        <v>0</v>
      </c>
      <c r="Y42" s="232"/>
      <c r="Z42" s="232"/>
      <c r="AA42" s="232"/>
      <c r="AB42" s="232"/>
      <c r="AC42" s="104"/>
      <c r="AD42" s="104"/>
      <c r="AE42" s="104"/>
      <c r="AF42" s="104"/>
      <c r="AG42" s="246">
        <f>AD42+AE42+AF42</f>
        <v>0</v>
      </c>
      <c r="AH42" s="232"/>
      <c r="AI42" s="232"/>
      <c r="AJ42" s="232"/>
      <c r="AK42" s="232"/>
      <c r="AL42" s="104"/>
      <c r="AM42" s="104"/>
      <c r="AN42" s="104"/>
      <c r="AO42" s="104"/>
      <c r="AP42" s="246">
        <f>AM42+AN42+AO42</f>
        <v>0</v>
      </c>
    </row>
    <row r="43" spans="1:42" ht="13.5">
      <c r="A43" s="232">
        <v>3</v>
      </c>
      <c r="B43" s="247"/>
      <c r="C43" s="232"/>
      <c r="D43" s="232"/>
      <c r="E43" s="232"/>
      <c r="F43" s="232"/>
      <c r="G43" s="232"/>
      <c r="H43" s="232"/>
      <c r="I43" s="104"/>
      <c r="J43" s="104"/>
      <c r="K43" s="104"/>
      <c r="L43" s="104"/>
      <c r="M43" s="246">
        <f>J43+K43+L43</f>
        <v>0</v>
      </c>
      <c r="N43" s="232"/>
      <c r="O43" s="104"/>
      <c r="P43" s="232"/>
      <c r="Q43" s="232"/>
      <c r="R43" s="232"/>
      <c r="S43" s="246">
        <f>P43+Q43+R43</f>
        <v>0</v>
      </c>
      <c r="T43" s="246">
        <f t="shared" si="12"/>
        <v>0</v>
      </c>
      <c r="U43" s="246">
        <f t="shared" si="12"/>
        <v>0</v>
      </c>
      <c r="V43" s="246">
        <f t="shared" si="12"/>
        <v>0</v>
      </c>
      <c r="W43" s="246">
        <f t="shared" si="12"/>
        <v>0</v>
      </c>
      <c r="X43" s="246">
        <f>U43+V43+W43</f>
        <v>0</v>
      </c>
      <c r="Y43" s="232"/>
      <c r="Z43" s="232"/>
      <c r="AA43" s="232"/>
      <c r="AB43" s="232"/>
      <c r="AC43" s="104"/>
      <c r="AD43" s="104"/>
      <c r="AE43" s="104"/>
      <c r="AF43" s="104"/>
      <c r="AG43" s="246">
        <f>AD43+AE43+AF43</f>
        <v>0</v>
      </c>
      <c r="AH43" s="232"/>
      <c r="AI43" s="232"/>
      <c r="AJ43" s="232"/>
      <c r="AK43" s="232"/>
      <c r="AL43" s="104"/>
      <c r="AM43" s="104"/>
      <c r="AN43" s="104"/>
      <c r="AO43" s="104"/>
      <c r="AP43" s="246">
        <f>AM43+AN43+AO43</f>
        <v>0</v>
      </c>
    </row>
    <row r="44" spans="1:42" s="249" customFormat="1" ht="27">
      <c r="A44" s="244"/>
      <c r="B44" s="252" t="s">
        <v>228</v>
      </c>
      <c r="C44" s="248" t="s">
        <v>1</v>
      </c>
      <c r="D44" s="248"/>
      <c r="E44" s="248"/>
      <c r="F44" s="248" t="s">
        <v>1</v>
      </c>
      <c r="G44" s="248" t="s">
        <v>1</v>
      </c>
      <c r="H44" s="248" t="s">
        <v>1</v>
      </c>
      <c r="I44" s="248">
        <f>SUM(I41:I43)</f>
        <v>0</v>
      </c>
      <c r="J44" s="248">
        <f>SUM(J41:J43)</f>
        <v>0</v>
      </c>
      <c r="K44" s="248">
        <f>SUM(K41:K43)</f>
        <v>0</v>
      </c>
      <c r="L44" s="248">
        <f>SUM(L41:L43)</f>
        <v>0</v>
      </c>
      <c r="M44" s="248">
        <f>SUM(M41:M43)</f>
        <v>0</v>
      </c>
      <c r="N44" s="248" t="s">
        <v>1</v>
      </c>
      <c r="O44" s="248">
        <f>SUM(O41:O43)</f>
        <v>0</v>
      </c>
      <c r="P44" s="248">
        <f>SUM(P41:P43)</f>
        <v>0</v>
      </c>
      <c r="Q44" s="248">
        <f>SUM(Q41:Q43)</f>
        <v>0</v>
      </c>
      <c r="R44" s="248">
        <f>SUM(R41:R43)</f>
        <v>0</v>
      </c>
      <c r="S44" s="248">
        <f aca="true" t="shared" si="13" ref="S44:X44">SUM(S41:S43)</f>
        <v>0</v>
      </c>
      <c r="T44" s="248">
        <f t="shared" si="13"/>
        <v>0</v>
      </c>
      <c r="U44" s="248">
        <f t="shared" si="13"/>
        <v>0</v>
      </c>
      <c r="V44" s="248">
        <f t="shared" si="13"/>
        <v>0</v>
      </c>
      <c r="W44" s="248">
        <f t="shared" si="13"/>
        <v>0</v>
      </c>
      <c r="X44" s="248">
        <f t="shared" si="13"/>
        <v>0</v>
      </c>
      <c r="Y44" s="248"/>
      <c r="Z44" s="248"/>
      <c r="AA44" s="248" t="s">
        <v>1</v>
      </c>
      <c r="AB44" s="248" t="s">
        <v>1</v>
      </c>
      <c r="AC44" s="248">
        <f>SUM(AC41:AC43)</f>
        <v>0</v>
      </c>
      <c r="AD44" s="248">
        <f>SUM(AD41:AD43)</f>
        <v>0</v>
      </c>
      <c r="AE44" s="248">
        <f>SUM(AE41:AE43)</f>
        <v>0</v>
      </c>
      <c r="AF44" s="248">
        <f>SUM(AF41:AF43)</f>
        <v>0</v>
      </c>
      <c r="AG44" s="248">
        <f>SUM(AG41:AG43)</f>
        <v>0</v>
      </c>
      <c r="AH44" s="248"/>
      <c r="AI44" s="248"/>
      <c r="AJ44" s="248" t="s">
        <v>1</v>
      </c>
      <c r="AK44" s="248" t="s">
        <v>1</v>
      </c>
      <c r="AL44" s="248">
        <f>SUM(AL41:AL43)</f>
        <v>0</v>
      </c>
      <c r="AM44" s="248">
        <f>SUM(AM41:AM43)</f>
        <v>0</v>
      </c>
      <c r="AN44" s="248">
        <f>SUM(AN41:AN43)</f>
        <v>0</v>
      </c>
      <c r="AO44" s="248">
        <f>SUM(AO41:AO43)</f>
        <v>0</v>
      </c>
      <c r="AP44" s="248">
        <f>SUM(AP41:AP43)</f>
        <v>0</v>
      </c>
    </row>
    <row r="45" spans="1:42" ht="13.5">
      <c r="A45" s="232"/>
      <c r="B45" s="207" t="s">
        <v>227</v>
      </c>
      <c r="C45" s="246"/>
      <c r="D45" s="246"/>
      <c r="E45" s="246"/>
      <c r="F45" s="246"/>
      <c r="G45" s="246"/>
      <c r="H45" s="246"/>
      <c r="I45" s="207"/>
      <c r="J45" s="207"/>
      <c r="K45" s="207"/>
      <c r="L45" s="207"/>
      <c r="M45" s="207"/>
      <c r="N45" s="246"/>
      <c r="O45" s="207"/>
      <c r="P45" s="207"/>
      <c r="Q45" s="207"/>
      <c r="R45" s="207"/>
      <c r="S45" s="207"/>
      <c r="T45" s="207"/>
      <c r="U45" s="207"/>
      <c r="V45" s="207"/>
      <c r="W45" s="109"/>
      <c r="X45" s="109"/>
      <c r="Y45" s="246"/>
      <c r="Z45" s="246"/>
      <c r="AA45" s="246"/>
      <c r="AB45" s="246"/>
      <c r="AC45" s="207"/>
      <c r="AD45" s="207"/>
      <c r="AE45" s="207"/>
      <c r="AF45" s="207"/>
      <c r="AG45" s="207"/>
      <c r="AH45" s="246"/>
      <c r="AI45" s="246"/>
      <c r="AJ45" s="246"/>
      <c r="AK45" s="246"/>
      <c r="AL45" s="207"/>
      <c r="AM45" s="207"/>
      <c r="AN45" s="207"/>
      <c r="AO45" s="207"/>
      <c r="AP45" s="207"/>
    </row>
    <row r="46" spans="1:42" ht="13.5">
      <c r="A46" s="232">
        <v>1</v>
      </c>
      <c r="B46" s="104"/>
      <c r="C46" s="232"/>
      <c r="D46" s="232"/>
      <c r="E46" s="232"/>
      <c r="F46" s="232"/>
      <c r="G46" s="232"/>
      <c r="H46" s="232"/>
      <c r="I46" s="104"/>
      <c r="J46" s="104"/>
      <c r="K46" s="104"/>
      <c r="L46" s="104"/>
      <c r="M46" s="246">
        <f>J46+K46+L46</f>
        <v>0</v>
      </c>
      <c r="N46" s="232"/>
      <c r="O46" s="104"/>
      <c r="P46" s="232"/>
      <c r="Q46" s="232"/>
      <c r="R46" s="232"/>
      <c r="S46" s="246">
        <f>P46+Q46+R46</f>
        <v>0</v>
      </c>
      <c r="T46" s="246">
        <f aca="true" t="shared" si="14" ref="T46:W48">I46-O46</f>
        <v>0</v>
      </c>
      <c r="U46" s="246">
        <f t="shared" si="14"/>
        <v>0</v>
      </c>
      <c r="V46" s="246">
        <f t="shared" si="14"/>
        <v>0</v>
      </c>
      <c r="W46" s="246">
        <f t="shared" si="14"/>
        <v>0</v>
      </c>
      <c r="X46" s="246">
        <f>U46+V46+W46</f>
        <v>0</v>
      </c>
      <c r="Y46" s="232"/>
      <c r="Z46" s="232"/>
      <c r="AA46" s="232"/>
      <c r="AB46" s="232"/>
      <c r="AC46" s="104"/>
      <c r="AD46" s="104"/>
      <c r="AE46" s="104"/>
      <c r="AF46" s="104"/>
      <c r="AG46" s="246">
        <f>AD46+AE46+AF46</f>
        <v>0</v>
      </c>
      <c r="AH46" s="232"/>
      <c r="AI46" s="232"/>
      <c r="AJ46" s="232"/>
      <c r="AK46" s="232"/>
      <c r="AL46" s="104"/>
      <c r="AM46" s="104"/>
      <c r="AN46" s="104"/>
      <c r="AO46" s="104"/>
      <c r="AP46" s="246">
        <f>AM46+AN46+AO46</f>
        <v>0</v>
      </c>
    </row>
    <row r="47" spans="1:42" ht="13.5">
      <c r="A47" s="232">
        <v>2</v>
      </c>
      <c r="B47" s="104"/>
      <c r="C47" s="232"/>
      <c r="D47" s="232"/>
      <c r="E47" s="232"/>
      <c r="F47" s="232"/>
      <c r="G47" s="232"/>
      <c r="H47" s="232"/>
      <c r="I47" s="104"/>
      <c r="J47" s="104"/>
      <c r="K47" s="104"/>
      <c r="L47" s="104"/>
      <c r="M47" s="246">
        <f>J47+K47+L47</f>
        <v>0</v>
      </c>
      <c r="N47" s="232"/>
      <c r="O47" s="104"/>
      <c r="P47" s="232"/>
      <c r="Q47" s="232"/>
      <c r="R47" s="232"/>
      <c r="S47" s="246">
        <f>P47+Q47+R47</f>
        <v>0</v>
      </c>
      <c r="T47" s="246">
        <f t="shared" si="14"/>
        <v>0</v>
      </c>
      <c r="U47" s="246">
        <f t="shared" si="14"/>
        <v>0</v>
      </c>
      <c r="V47" s="246">
        <f t="shared" si="14"/>
        <v>0</v>
      </c>
      <c r="W47" s="246">
        <f t="shared" si="14"/>
        <v>0</v>
      </c>
      <c r="X47" s="246">
        <f>U47+V47+W47</f>
        <v>0</v>
      </c>
      <c r="Y47" s="232"/>
      <c r="Z47" s="232"/>
      <c r="AA47" s="232"/>
      <c r="AB47" s="232"/>
      <c r="AC47" s="104"/>
      <c r="AD47" s="104"/>
      <c r="AE47" s="104"/>
      <c r="AF47" s="104"/>
      <c r="AG47" s="246">
        <f>AD47+AE47+AF47</f>
        <v>0</v>
      </c>
      <c r="AH47" s="232"/>
      <c r="AI47" s="232"/>
      <c r="AJ47" s="232"/>
      <c r="AK47" s="232"/>
      <c r="AL47" s="104"/>
      <c r="AM47" s="104"/>
      <c r="AN47" s="104"/>
      <c r="AO47" s="104"/>
      <c r="AP47" s="246">
        <f>AM47+AN47+AO47</f>
        <v>0</v>
      </c>
    </row>
    <row r="48" spans="1:42" ht="13.5">
      <c r="A48" s="232">
        <v>3</v>
      </c>
      <c r="B48" s="247"/>
      <c r="C48" s="232"/>
      <c r="D48" s="232"/>
      <c r="E48" s="232"/>
      <c r="F48" s="232"/>
      <c r="G48" s="232"/>
      <c r="H48" s="232"/>
      <c r="I48" s="104"/>
      <c r="J48" s="104"/>
      <c r="K48" s="104"/>
      <c r="L48" s="104"/>
      <c r="M48" s="246">
        <f>J48+K48+L48</f>
        <v>0</v>
      </c>
      <c r="N48" s="232"/>
      <c r="O48" s="104"/>
      <c r="P48" s="232"/>
      <c r="Q48" s="232"/>
      <c r="R48" s="232"/>
      <c r="S48" s="246">
        <f>P48+Q48+R48</f>
        <v>0</v>
      </c>
      <c r="T48" s="246">
        <f t="shared" si="14"/>
        <v>0</v>
      </c>
      <c r="U48" s="246">
        <f t="shared" si="14"/>
        <v>0</v>
      </c>
      <c r="V48" s="246">
        <f t="shared" si="14"/>
        <v>0</v>
      </c>
      <c r="W48" s="246">
        <f t="shared" si="14"/>
        <v>0</v>
      </c>
      <c r="X48" s="246">
        <f>U48+V48+W48</f>
        <v>0</v>
      </c>
      <c r="Y48" s="232"/>
      <c r="Z48" s="232"/>
      <c r="AA48" s="232"/>
      <c r="AB48" s="232"/>
      <c r="AC48" s="104"/>
      <c r="AD48" s="104"/>
      <c r="AE48" s="104"/>
      <c r="AF48" s="104"/>
      <c r="AG48" s="246">
        <f>AD48+AE48+AF48</f>
        <v>0</v>
      </c>
      <c r="AH48" s="232"/>
      <c r="AI48" s="232"/>
      <c r="AJ48" s="232"/>
      <c r="AK48" s="232"/>
      <c r="AL48" s="104"/>
      <c r="AM48" s="104"/>
      <c r="AN48" s="104"/>
      <c r="AO48" s="104"/>
      <c r="AP48" s="246">
        <f>AM48+AN48+AO48</f>
        <v>0</v>
      </c>
    </row>
    <row r="49" spans="1:42" s="249" customFormat="1" ht="27">
      <c r="A49" s="244"/>
      <c r="B49" s="252" t="s">
        <v>228</v>
      </c>
      <c r="C49" s="248" t="s">
        <v>1</v>
      </c>
      <c r="D49" s="248"/>
      <c r="E49" s="248"/>
      <c r="F49" s="248" t="s">
        <v>1</v>
      </c>
      <c r="G49" s="248" t="s">
        <v>1</v>
      </c>
      <c r="H49" s="248" t="s">
        <v>1</v>
      </c>
      <c r="I49" s="248">
        <f>SUM(I46:I48)</f>
        <v>0</v>
      </c>
      <c r="J49" s="248">
        <f>SUM(J46:J48)</f>
        <v>0</v>
      </c>
      <c r="K49" s="248">
        <f>SUM(K46:K48)</f>
        <v>0</v>
      </c>
      <c r="L49" s="248">
        <f>SUM(L46:L48)</f>
        <v>0</v>
      </c>
      <c r="M49" s="248">
        <f>SUM(M46:M48)</f>
        <v>0</v>
      </c>
      <c r="N49" s="248" t="s">
        <v>1</v>
      </c>
      <c r="O49" s="248">
        <f aca="true" t="shared" si="15" ref="O49:X49">SUM(O46:O48)</f>
        <v>0</v>
      </c>
      <c r="P49" s="248">
        <f t="shared" si="15"/>
        <v>0</v>
      </c>
      <c r="Q49" s="248">
        <f t="shared" si="15"/>
        <v>0</v>
      </c>
      <c r="R49" s="248">
        <f t="shared" si="15"/>
        <v>0</v>
      </c>
      <c r="S49" s="248">
        <f t="shared" si="15"/>
        <v>0</v>
      </c>
      <c r="T49" s="248">
        <f t="shared" si="15"/>
        <v>0</v>
      </c>
      <c r="U49" s="248">
        <f t="shared" si="15"/>
        <v>0</v>
      </c>
      <c r="V49" s="248">
        <f t="shared" si="15"/>
        <v>0</v>
      </c>
      <c r="W49" s="248">
        <f t="shared" si="15"/>
        <v>0</v>
      </c>
      <c r="X49" s="248">
        <f t="shared" si="15"/>
        <v>0</v>
      </c>
      <c r="Y49" s="248"/>
      <c r="Z49" s="248"/>
      <c r="AA49" s="248" t="s">
        <v>1</v>
      </c>
      <c r="AB49" s="248" t="s">
        <v>1</v>
      </c>
      <c r="AC49" s="248">
        <f>SUM(AC46:AC48)</f>
        <v>0</v>
      </c>
      <c r="AD49" s="248">
        <f>SUM(AD46:AD48)</f>
        <v>0</v>
      </c>
      <c r="AE49" s="248">
        <f>SUM(AE46:AE48)</f>
        <v>0</v>
      </c>
      <c r="AF49" s="248">
        <f>SUM(AF46:AF48)</f>
        <v>0</v>
      </c>
      <c r="AG49" s="248">
        <f>SUM(AG46:AG48)</f>
        <v>0</v>
      </c>
      <c r="AH49" s="248"/>
      <c r="AI49" s="248"/>
      <c r="AJ49" s="248" t="s">
        <v>1</v>
      </c>
      <c r="AK49" s="248" t="s">
        <v>1</v>
      </c>
      <c r="AL49" s="248">
        <f>SUM(AL46:AL48)</f>
        <v>0</v>
      </c>
      <c r="AM49" s="248">
        <f>SUM(AM46:AM48)</f>
        <v>0</v>
      </c>
      <c r="AN49" s="248">
        <f>SUM(AN46:AN48)</f>
        <v>0</v>
      </c>
      <c r="AO49" s="248">
        <f>SUM(AO46:AO48)</f>
        <v>0</v>
      </c>
      <c r="AP49" s="248">
        <f>SUM(AP46:AP48)</f>
        <v>0</v>
      </c>
    </row>
    <row r="50" spans="1:42" s="249" customFormat="1" ht="27">
      <c r="A50" s="244"/>
      <c r="B50" s="252" t="s">
        <v>232</v>
      </c>
      <c r="C50" s="248" t="s">
        <v>1</v>
      </c>
      <c r="D50" s="248"/>
      <c r="E50" s="248"/>
      <c r="F50" s="248" t="s">
        <v>1</v>
      </c>
      <c r="G50" s="248" t="s">
        <v>1</v>
      </c>
      <c r="H50" s="248" t="s">
        <v>1</v>
      </c>
      <c r="I50" s="248">
        <f>I44+I49</f>
        <v>0</v>
      </c>
      <c r="J50" s="248">
        <f>J44+J49</f>
        <v>0</v>
      </c>
      <c r="K50" s="248">
        <f>K44+K49</f>
        <v>0</v>
      </c>
      <c r="L50" s="248">
        <f>L44+L49</f>
        <v>0</v>
      </c>
      <c r="M50" s="248">
        <f>M44+M49</f>
        <v>0</v>
      </c>
      <c r="N50" s="248" t="s">
        <v>1</v>
      </c>
      <c r="O50" s="248">
        <f>O44+O49</f>
        <v>0</v>
      </c>
      <c r="P50" s="248">
        <f>P44+P49</f>
        <v>0</v>
      </c>
      <c r="Q50" s="248">
        <f>Q44+Q49</f>
        <v>0</v>
      </c>
      <c r="R50" s="248">
        <f>R44+R49</f>
        <v>0</v>
      </c>
      <c r="S50" s="248">
        <f aca="true" t="shared" si="16" ref="S50:X50">S44+S49</f>
        <v>0</v>
      </c>
      <c r="T50" s="248">
        <f t="shared" si="16"/>
        <v>0</v>
      </c>
      <c r="U50" s="248">
        <f t="shared" si="16"/>
        <v>0</v>
      </c>
      <c r="V50" s="248">
        <f t="shared" si="16"/>
        <v>0</v>
      </c>
      <c r="W50" s="248">
        <f t="shared" si="16"/>
        <v>0</v>
      </c>
      <c r="X50" s="248">
        <f t="shared" si="16"/>
        <v>0</v>
      </c>
      <c r="Y50" s="248"/>
      <c r="Z50" s="248"/>
      <c r="AA50" s="248" t="s">
        <v>1</v>
      </c>
      <c r="AB50" s="248" t="s">
        <v>1</v>
      </c>
      <c r="AC50" s="248">
        <f>AC44+AC49</f>
        <v>0</v>
      </c>
      <c r="AD50" s="248">
        <f>AD44+AD49</f>
        <v>0</v>
      </c>
      <c r="AE50" s="248">
        <f>AE44+AE49</f>
        <v>0</v>
      </c>
      <c r="AF50" s="248">
        <f>AF44+AF49</f>
        <v>0</v>
      </c>
      <c r="AG50" s="248">
        <f>AG44+AG49</f>
        <v>0</v>
      </c>
      <c r="AH50" s="248"/>
      <c r="AI50" s="248"/>
      <c r="AJ50" s="248" t="s">
        <v>1</v>
      </c>
      <c r="AK50" s="248" t="s">
        <v>1</v>
      </c>
      <c r="AL50" s="248">
        <f>AL44+AL49</f>
        <v>0</v>
      </c>
      <c r="AM50" s="248">
        <f>AM44+AM49</f>
        <v>0</v>
      </c>
      <c r="AN50" s="248">
        <f>AN44+AN49</f>
        <v>0</v>
      </c>
      <c r="AO50" s="248">
        <f>AO44+AO49</f>
        <v>0</v>
      </c>
      <c r="AP50" s="248">
        <f>AP44+AP49</f>
        <v>0</v>
      </c>
    </row>
    <row r="51" spans="1:42" ht="13.5">
      <c r="A51" s="232"/>
      <c r="B51" s="247"/>
      <c r="C51" s="258"/>
      <c r="D51" s="258"/>
      <c r="E51" s="258"/>
      <c r="F51" s="246"/>
      <c r="G51" s="246"/>
      <c r="H51" s="246"/>
      <c r="I51" s="246"/>
      <c r="J51" s="246"/>
      <c r="K51" s="246"/>
      <c r="L51" s="246"/>
      <c r="M51" s="246"/>
      <c r="N51" s="246"/>
      <c r="O51" s="246"/>
      <c r="P51" s="246"/>
      <c r="Q51" s="246"/>
      <c r="R51" s="72"/>
      <c r="S51" s="246"/>
      <c r="T51" s="246"/>
      <c r="U51" s="246"/>
      <c r="V51" s="246"/>
      <c r="W51" s="109"/>
      <c r="X51" s="109"/>
      <c r="Y51" s="258"/>
      <c r="Z51" s="258"/>
      <c r="AA51" s="246"/>
      <c r="AB51" s="246"/>
      <c r="AC51" s="246"/>
      <c r="AD51" s="246"/>
      <c r="AE51" s="246"/>
      <c r="AF51" s="246"/>
      <c r="AG51" s="246"/>
      <c r="AH51" s="258"/>
      <c r="AI51" s="258"/>
      <c r="AJ51" s="246"/>
      <c r="AK51" s="246"/>
      <c r="AL51" s="246"/>
      <c r="AM51" s="246"/>
      <c r="AN51" s="246"/>
      <c r="AO51" s="246"/>
      <c r="AP51" s="246"/>
    </row>
    <row r="52" spans="1:42" ht="54">
      <c r="A52" s="244" t="s">
        <v>24</v>
      </c>
      <c r="B52" s="245" t="s">
        <v>422</v>
      </c>
      <c r="C52" s="258"/>
      <c r="D52" s="258"/>
      <c r="E52" s="258"/>
      <c r="F52" s="246"/>
      <c r="G52" s="246"/>
      <c r="H52" s="246"/>
      <c r="I52" s="246"/>
      <c r="J52" s="246"/>
      <c r="K52" s="246"/>
      <c r="L52" s="246"/>
      <c r="M52" s="246"/>
      <c r="N52" s="246"/>
      <c r="O52" s="246"/>
      <c r="P52" s="246"/>
      <c r="Q52" s="246"/>
      <c r="R52" s="72"/>
      <c r="S52" s="246"/>
      <c r="T52" s="246"/>
      <c r="U52" s="246"/>
      <c r="V52" s="246"/>
      <c r="W52" s="109"/>
      <c r="X52" s="109"/>
      <c r="Y52" s="258"/>
      <c r="Z52" s="258"/>
      <c r="AA52" s="246"/>
      <c r="AB52" s="246"/>
      <c r="AC52" s="246"/>
      <c r="AD52" s="246"/>
      <c r="AE52" s="246"/>
      <c r="AF52" s="246"/>
      <c r="AG52" s="246"/>
      <c r="AH52" s="258"/>
      <c r="AI52" s="258"/>
      <c r="AJ52" s="246"/>
      <c r="AK52" s="246"/>
      <c r="AL52" s="246"/>
      <c r="AM52" s="246"/>
      <c r="AN52" s="246"/>
      <c r="AO52" s="246"/>
      <c r="AP52" s="246"/>
    </row>
    <row r="53" spans="1:42" ht="13.5">
      <c r="A53" s="232"/>
      <c r="B53" s="207" t="s">
        <v>123</v>
      </c>
      <c r="C53" s="258"/>
      <c r="D53" s="258"/>
      <c r="E53" s="258"/>
      <c r="F53" s="246"/>
      <c r="G53" s="246"/>
      <c r="H53" s="246"/>
      <c r="I53" s="246"/>
      <c r="J53" s="246"/>
      <c r="K53" s="246"/>
      <c r="L53" s="246"/>
      <c r="M53" s="246"/>
      <c r="N53" s="246"/>
      <c r="O53" s="246"/>
      <c r="P53" s="246"/>
      <c r="Q53" s="246"/>
      <c r="R53" s="72"/>
      <c r="S53" s="246"/>
      <c r="T53" s="246"/>
      <c r="U53" s="246"/>
      <c r="V53" s="246"/>
      <c r="W53" s="109"/>
      <c r="X53" s="109"/>
      <c r="Y53" s="258"/>
      <c r="Z53" s="258"/>
      <c r="AA53" s="246"/>
      <c r="AB53" s="246"/>
      <c r="AC53" s="246"/>
      <c r="AD53" s="246"/>
      <c r="AE53" s="246"/>
      <c r="AF53" s="246"/>
      <c r="AG53" s="246"/>
      <c r="AH53" s="258"/>
      <c r="AI53" s="258"/>
      <c r="AJ53" s="246"/>
      <c r="AK53" s="246"/>
      <c r="AL53" s="246"/>
      <c r="AM53" s="246"/>
      <c r="AN53" s="246"/>
      <c r="AO53" s="246"/>
      <c r="AP53" s="246"/>
    </row>
    <row r="54" spans="1:42" ht="13.5">
      <c r="A54" s="232">
        <v>1</v>
      </c>
      <c r="B54" s="104"/>
      <c r="C54" s="246"/>
      <c r="D54" s="246"/>
      <c r="E54" s="246"/>
      <c r="F54" s="246" t="s">
        <v>1</v>
      </c>
      <c r="G54" s="246" t="s">
        <v>1</v>
      </c>
      <c r="H54" s="246"/>
      <c r="I54" s="246"/>
      <c r="J54" s="246"/>
      <c r="K54" s="246"/>
      <c r="L54" s="246"/>
      <c r="M54" s="246">
        <f>J54+K54+L54</f>
        <v>0</v>
      </c>
      <c r="N54" s="246"/>
      <c r="O54" s="104"/>
      <c r="P54" s="232"/>
      <c r="Q54" s="232"/>
      <c r="R54" s="232"/>
      <c r="S54" s="246">
        <f>P54+Q54+R54</f>
        <v>0</v>
      </c>
      <c r="T54" s="246">
        <f aca="true" t="shared" si="17" ref="T54:W56">I54-O54</f>
        <v>0</v>
      </c>
      <c r="U54" s="246">
        <f t="shared" si="17"/>
        <v>0</v>
      </c>
      <c r="V54" s="246">
        <f t="shared" si="17"/>
        <v>0</v>
      </c>
      <c r="W54" s="246">
        <f t="shared" si="17"/>
        <v>0</v>
      </c>
      <c r="X54" s="246">
        <f>U54+V54+W54</f>
        <v>0</v>
      </c>
      <c r="Y54" s="246"/>
      <c r="Z54" s="246"/>
      <c r="AA54" s="246" t="s">
        <v>1</v>
      </c>
      <c r="AB54" s="246"/>
      <c r="AC54" s="246"/>
      <c r="AD54" s="246"/>
      <c r="AE54" s="246"/>
      <c r="AF54" s="246"/>
      <c r="AG54" s="246">
        <f>AD54+AE54+AF54</f>
        <v>0</v>
      </c>
      <c r="AH54" s="246"/>
      <c r="AI54" s="246"/>
      <c r="AJ54" s="246" t="s">
        <v>1</v>
      </c>
      <c r="AK54" s="246"/>
      <c r="AL54" s="246"/>
      <c r="AM54" s="246"/>
      <c r="AN54" s="246"/>
      <c r="AO54" s="246"/>
      <c r="AP54" s="246">
        <f>AM54+AN54+AO54</f>
        <v>0</v>
      </c>
    </row>
    <row r="55" spans="1:42" ht="13.5">
      <c r="A55" s="232">
        <v>2</v>
      </c>
      <c r="B55" s="104"/>
      <c r="C55" s="246"/>
      <c r="D55" s="246"/>
      <c r="E55" s="246"/>
      <c r="F55" s="246" t="s">
        <v>1</v>
      </c>
      <c r="G55" s="246" t="s">
        <v>1</v>
      </c>
      <c r="H55" s="246"/>
      <c r="I55" s="246"/>
      <c r="J55" s="246"/>
      <c r="K55" s="246"/>
      <c r="L55" s="246"/>
      <c r="M55" s="246">
        <f>J55+K55+L55</f>
        <v>0</v>
      </c>
      <c r="N55" s="246"/>
      <c r="O55" s="104"/>
      <c r="P55" s="232"/>
      <c r="Q55" s="232"/>
      <c r="R55" s="232"/>
      <c r="S55" s="246">
        <f>P55+Q55+R55</f>
        <v>0</v>
      </c>
      <c r="T55" s="246">
        <f t="shared" si="17"/>
        <v>0</v>
      </c>
      <c r="U55" s="246">
        <f t="shared" si="17"/>
        <v>0</v>
      </c>
      <c r="V55" s="246">
        <f t="shared" si="17"/>
        <v>0</v>
      </c>
      <c r="W55" s="246">
        <f t="shared" si="17"/>
        <v>0</v>
      </c>
      <c r="X55" s="246">
        <f>U55+V55+W55</f>
        <v>0</v>
      </c>
      <c r="Y55" s="246"/>
      <c r="Z55" s="246"/>
      <c r="AA55" s="246" t="s">
        <v>1</v>
      </c>
      <c r="AB55" s="246"/>
      <c r="AC55" s="246"/>
      <c r="AD55" s="246"/>
      <c r="AE55" s="246"/>
      <c r="AF55" s="246"/>
      <c r="AG55" s="246">
        <f>AD55+AE55+AF55</f>
        <v>0</v>
      </c>
      <c r="AH55" s="246"/>
      <c r="AI55" s="246"/>
      <c r="AJ55" s="246" t="s">
        <v>1</v>
      </c>
      <c r="AK55" s="246"/>
      <c r="AL55" s="246"/>
      <c r="AM55" s="246"/>
      <c r="AN55" s="246"/>
      <c r="AO55" s="246"/>
      <c r="AP55" s="246">
        <f>AM55+AN55+AO55</f>
        <v>0</v>
      </c>
    </row>
    <row r="56" spans="1:42" ht="13.5">
      <c r="A56" s="232">
        <v>3</v>
      </c>
      <c r="B56" s="104"/>
      <c r="C56" s="246"/>
      <c r="D56" s="246"/>
      <c r="E56" s="246"/>
      <c r="F56" s="246" t="s">
        <v>1</v>
      </c>
      <c r="G56" s="246" t="s">
        <v>1</v>
      </c>
      <c r="H56" s="246"/>
      <c r="I56" s="246"/>
      <c r="J56" s="246"/>
      <c r="K56" s="246"/>
      <c r="L56" s="246"/>
      <c r="M56" s="246">
        <f>J56+K56+L56</f>
        <v>0</v>
      </c>
      <c r="N56" s="246"/>
      <c r="O56" s="104"/>
      <c r="P56" s="232"/>
      <c r="Q56" s="232"/>
      <c r="R56" s="232"/>
      <c r="S56" s="246">
        <f>P56+Q56+R56</f>
        <v>0</v>
      </c>
      <c r="T56" s="246">
        <f t="shared" si="17"/>
        <v>0</v>
      </c>
      <c r="U56" s="246">
        <f t="shared" si="17"/>
        <v>0</v>
      </c>
      <c r="V56" s="246">
        <f t="shared" si="17"/>
        <v>0</v>
      </c>
      <c r="W56" s="246">
        <f t="shared" si="17"/>
        <v>0</v>
      </c>
      <c r="X56" s="246">
        <f>U56+V56+W56</f>
        <v>0</v>
      </c>
      <c r="Y56" s="246"/>
      <c r="Z56" s="246"/>
      <c r="AA56" s="246" t="s">
        <v>1</v>
      </c>
      <c r="AB56" s="246"/>
      <c r="AC56" s="246"/>
      <c r="AD56" s="246"/>
      <c r="AE56" s="246"/>
      <c r="AF56" s="246"/>
      <c r="AG56" s="246">
        <f>AD56+AE56+AF56</f>
        <v>0</v>
      </c>
      <c r="AH56" s="246"/>
      <c r="AI56" s="246"/>
      <c r="AJ56" s="246" t="s">
        <v>1</v>
      </c>
      <c r="AK56" s="246"/>
      <c r="AL56" s="246"/>
      <c r="AM56" s="246"/>
      <c r="AN56" s="246"/>
      <c r="AO56" s="246"/>
      <c r="AP56" s="246">
        <f>AM56+AN56+AO56</f>
        <v>0</v>
      </c>
    </row>
    <row r="57" spans="1:42" s="249" customFormat="1" ht="14.25">
      <c r="A57" s="244"/>
      <c r="B57" s="247" t="s">
        <v>110</v>
      </c>
      <c r="C57" s="248" t="s">
        <v>1</v>
      </c>
      <c r="D57" s="248"/>
      <c r="E57" s="248"/>
      <c r="F57" s="248" t="s">
        <v>1</v>
      </c>
      <c r="G57" s="248" t="s">
        <v>1</v>
      </c>
      <c r="H57" s="248" t="s">
        <v>1</v>
      </c>
      <c r="I57" s="248">
        <f>SUM(I54:I56)</f>
        <v>0</v>
      </c>
      <c r="J57" s="248">
        <f aca="true" t="shared" si="18" ref="J57:R57">SUM(J54:J56)</f>
        <v>0</v>
      </c>
      <c r="K57" s="248">
        <f t="shared" si="18"/>
        <v>0</v>
      </c>
      <c r="L57" s="248">
        <f t="shared" si="18"/>
        <v>0</v>
      </c>
      <c r="M57" s="248">
        <f t="shared" si="18"/>
        <v>0</v>
      </c>
      <c r="N57" s="248" t="s">
        <v>1</v>
      </c>
      <c r="O57" s="248">
        <f t="shared" si="18"/>
        <v>0</v>
      </c>
      <c r="P57" s="248">
        <f t="shared" si="18"/>
        <v>0</v>
      </c>
      <c r="Q57" s="248">
        <f t="shared" si="18"/>
        <v>0</v>
      </c>
      <c r="R57" s="248">
        <f t="shared" si="18"/>
        <v>0</v>
      </c>
      <c r="S57" s="248">
        <f aca="true" t="shared" si="19" ref="S57:X57">SUM(S54:S56)</f>
        <v>0</v>
      </c>
      <c r="T57" s="248">
        <f t="shared" si="19"/>
        <v>0</v>
      </c>
      <c r="U57" s="248">
        <f t="shared" si="19"/>
        <v>0</v>
      </c>
      <c r="V57" s="248">
        <f t="shared" si="19"/>
        <v>0</v>
      </c>
      <c r="W57" s="248">
        <f t="shared" si="19"/>
        <v>0</v>
      </c>
      <c r="X57" s="248">
        <f t="shared" si="19"/>
        <v>0</v>
      </c>
      <c r="Y57" s="248"/>
      <c r="Z57" s="248"/>
      <c r="AA57" s="248" t="s">
        <v>1</v>
      </c>
      <c r="AB57" s="248" t="s">
        <v>1</v>
      </c>
      <c r="AC57" s="248">
        <f>SUM(AC54:AC56)</f>
        <v>0</v>
      </c>
      <c r="AD57" s="248">
        <f>SUM(AD54:AD56)</f>
        <v>0</v>
      </c>
      <c r="AE57" s="248">
        <f>SUM(AE54:AE56)</f>
        <v>0</v>
      </c>
      <c r="AF57" s="248">
        <f>SUM(AF54:AF56)</f>
        <v>0</v>
      </c>
      <c r="AG57" s="248">
        <f>SUM(AG54:AG56)</f>
        <v>0</v>
      </c>
      <c r="AH57" s="248"/>
      <c r="AI57" s="248"/>
      <c r="AJ57" s="248" t="s">
        <v>1</v>
      </c>
      <c r="AK57" s="248" t="s">
        <v>1</v>
      </c>
      <c r="AL57" s="248">
        <f>SUM(AL54:AL56)</f>
        <v>0</v>
      </c>
      <c r="AM57" s="248">
        <f>SUM(AM54:AM56)</f>
        <v>0</v>
      </c>
      <c r="AN57" s="248">
        <f>SUM(AN54:AN56)</f>
        <v>0</v>
      </c>
      <c r="AO57" s="248">
        <f>SUM(AO54:AO56)</f>
        <v>0</v>
      </c>
      <c r="AP57" s="248">
        <f>SUM(AP54:AP56)</f>
        <v>0</v>
      </c>
    </row>
    <row r="58" spans="1:42" s="249" customFormat="1" ht="14.25">
      <c r="A58" s="244"/>
      <c r="B58" s="277"/>
      <c r="C58" s="322"/>
      <c r="D58" s="322"/>
      <c r="E58" s="322"/>
      <c r="F58" s="248"/>
      <c r="G58" s="248"/>
      <c r="H58" s="248"/>
      <c r="I58" s="248"/>
      <c r="J58" s="248"/>
      <c r="K58" s="248"/>
      <c r="L58" s="248"/>
      <c r="M58" s="248"/>
      <c r="N58" s="248"/>
      <c r="O58" s="248"/>
      <c r="P58" s="248"/>
      <c r="Q58" s="248"/>
      <c r="R58" s="248"/>
      <c r="S58" s="248"/>
      <c r="T58" s="248"/>
      <c r="U58" s="248"/>
      <c r="V58" s="248"/>
      <c r="W58" s="248"/>
      <c r="X58" s="248"/>
      <c r="Y58" s="322"/>
      <c r="Z58" s="322"/>
      <c r="AA58" s="248"/>
      <c r="AB58" s="248"/>
      <c r="AC58" s="248"/>
      <c r="AD58" s="248"/>
      <c r="AE58" s="248"/>
      <c r="AF58" s="248"/>
      <c r="AG58" s="248"/>
      <c r="AH58" s="322"/>
      <c r="AI58" s="322"/>
      <c r="AJ58" s="248"/>
      <c r="AK58" s="248"/>
      <c r="AL58" s="248"/>
      <c r="AM58" s="248"/>
      <c r="AN58" s="248"/>
      <c r="AO58" s="248"/>
      <c r="AP58" s="248"/>
    </row>
    <row r="59" spans="1:42" s="249" customFormat="1" ht="30" customHeight="1">
      <c r="A59" s="244"/>
      <c r="B59" s="584" t="s">
        <v>436</v>
      </c>
      <c r="C59" s="248" t="s">
        <v>1</v>
      </c>
      <c r="D59" s="248"/>
      <c r="E59" s="248"/>
      <c r="F59" s="248" t="s">
        <v>1</v>
      </c>
      <c r="G59" s="248" t="s">
        <v>1</v>
      </c>
      <c r="H59" s="248" t="s">
        <v>1</v>
      </c>
      <c r="I59" s="248">
        <f>I13+I20+I35+I50+I57</f>
        <v>0</v>
      </c>
      <c r="J59" s="248">
        <f aca="true" t="shared" si="20" ref="J59:X59">J13+J20+J35+J50+J57</f>
        <v>0</v>
      </c>
      <c r="K59" s="248">
        <f t="shared" si="20"/>
        <v>0</v>
      </c>
      <c r="L59" s="248">
        <f t="shared" si="20"/>
        <v>0</v>
      </c>
      <c r="M59" s="248">
        <f t="shared" si="20"/>
        <v>0</v>
      </c>
      <c r="N59" s="248" t="s">
        <v>1</v>
      </c>
      <c r="O59" s="248">
        <f t="shared" si="20"/>
        <v>0</v>
      </c>
      <c r="P59" s="248">
        <f t="shared" si="20"/>
        <v>0</v>
      </c>
      <c r="Q59" s="248">
        <f t="shared" si="20"/>
        <v>0</v>
      </c>
      <c r="R59" s="248">
        <f t="shared" si="20"/>
        <v>0</v>
      </c>
      <c r="S59" s="248">
        <f t="shared" si="20"/>
        <v>0</v>
      </c>
      <c r="T59" s="248">
        <f t="shared" si="20"/>
        <v>0</v>
      </c>
      <c r="U59" s="248">
        <f t="shared" si="20"/>
        <v>0</v>
      </c>
      <c r="V59" s="248">
        <f t="shared" si="20"/>
        <v>0</v>
      </c>
      <c r="W59" s="248">
        <f t="shared" si="20"/>
        <v>0</v>
      </c>
      <c r="X59" s="248">
        <f t="shared" si="20"/>
        <v>0</v>
      </c>
      <c r="Y59" s="248"/>
      <c r="Z59" s="248"/>
      <c r="AA59" s="248" t="s">
        <v>1</v>
      </c>
      <c r="AB59" s="248" t="s">
        <v>1</v>
      </c>
      <c r="AC59" s="248">
        <f>AC13+AC20+AC35+AC50+AC57</f>
        <v>0</v>
      </c>
      <c r="AD59" s="248">
        <f>AD13+AD20+AD35+AD50+AD57</f>
        <v>0</v>
      </c>
      <c r="AE59" s="248">
        <f>AE13+AE20+AE35+AE50+AE57</f>
        <v>0</v>
      </c>
      <c r="AF59" s="248">
        <f>AF13+AF20+AF35+AF50+AF57</f>
        <v>0</v>
      </c>
      <c r="AG59" s="248">
        <f>AG13+AG20+AG35+AG50+AG57</f>
        <v>0</v>
      </c>
      <c r="AH59" s="248"/>
      <c r="AI59" s="248"/>
      <c r="AJ59" s="248" t="s">
        <v>1</v>
      </c>
      <c r="AK59" s="248" t="s">
        <v>1</v>
      </c>
      <c r="AL59" s="248">
        <f>AL13+AL20+AL35+AL50+AL57</f>
        <v>0</v>
      </c>
      <c r="AM59" s="248">
        <f>AM13+AM20+AM35+AM50+AM57</f>
        <v>0</v>
      </c>
      <c r="AN59" s="248">
        <f>AN13+AN20+AN35+AN50+AN57</f>
        <v>0</v>
      </c>
      <c r="AO59" s="248">
        <f>AO13+AO20+AO35+AO50+AO57</f>
        <v>0</v>
      </c>
      <c r="AP59" s="248">
        <f>AP13+AP20+AP35+AP50+AP57</f>
        <v>0</v>
      </c>
    </row>
    <row r="60" spans="1:42" s="16" customFormat="1" ht="12.75">
      <c r="A60" s="43"/>
      <c r="B60" s="259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S60" s="45"/>
      <c r="T60" s="45"/>
      <c r="U60" s="45"/>
      <c r="V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</row>
    <row r="61" ht="13.5">
      <c r="B61" s="5" t="s">
        <v>230</v>
      </c>
    </row>
    <row r="62" spans="2:36" ht="27.75" customHeight="1">
      <c r="B62" s="324" t="s">
        <v>420</v>
      </c>
      <c r="C62" s="191"/>
      <c r="D62" s="324"/>
      <c r="E62" s="324"/>
      <c r="F62" s="324"/>
      <c r="G62" s="324"/>
      <c r="Y62" s="324"/>
      <c r="Z62" s="324"/>
      <c r="AA62" s="324"/>
      <c r="AH62" s="324"/>
      <c r="AI62" s="324"/>
      <c r="AJ62" s="324"/>
    </row>
    <row r="63" spans="2:9" ht="37.5" customHeight="1">
      <c r="B63" s="963" t="s">
        <v>419</v>
      </c>
      <c r="C63" s="964"/>
      <c r="D63" s="964"/>
      <c r="E63" s="964"/>
      <c r="F63" s="964"/>
      <c r="G63" s="964"/>
      <c r="H63" s="964"/>
      <c r="I63" s="964"/>
    </row>
    <row r="64" spans="2:36" ht="19.5" customHeight="1">
      <c r="B64" s="326" t="s">
        <v>291</v>
      </c>
      <c r="C64" s="324"/>
      <c r="D64" s="324"/>
      <c r="E64" s="324"/>
      <c r="F64" s="324"/>
      <c r="G64" s="324"/>
      <c r="Y64" s="324"/>
      <c r="Z64" s="324"/>
      <c r="AA64" s="324"/>
      <c r="AH64" s="324"/>
      <c r="AI64" s="324"/>
      <c r="AJ64" s="324"/>
    </row>
    <row r="65" spans="2:9" ht="34.5" customHeight="1">
      <c r="B65" s="965" t="s">
        <v>489</v>
      </c>
      <c r="C65" s="965"/>
      <c r="D65" s="965"/>
      <c r="E65" s="965"/>
      <c r="F65" s="965"/>
      <c r="G65" s="965"/>
      <c r="H65" s="965"/>
      <c r="I65" s="965"/>
    </row>
  </sheetData>
  <sheetProtection/>
  <mergeCells count="5">
    <mergeCell ref="Q2:S2"/>
    <mergeCell ref="O4:S4"/>
    <mergeCell ref="T4:X4"/>
    <mergeCell ref="B63:I63"/>
    <mergeCell ref="B65:I6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P20"/>
  <sheetViews>
    <sheetView zoomScalePageLayoutView="0" workbookViewId="0" topLeftCell="A1">
      <selection activeCell="B4" sqref="B3:L4"/>
    </sheetView>
  </sheetViews>
  <sheetFormatPr defaultColWidth="9.140625" defaultRowHeight="12.75"/>
  <cols>
    <col min="1" max="1" width="3.57421875" style="5" customWidth="1"/>
    <col min="2" max="2" width="26.7109375" style="5" customWidth="1"/>
    <col min="3" max="4" width="8.00390625" style="5" customWidth="1"/>
    <col min="5" max="5" width="8.421875" style="5" customWidth="1"/>
    <col min="6" max="6" width="11.00390625" style="374" customWidth="1"/>
    <col min="7" max="7" width="9.00390625" style="5" customWidth="1"/>
    <col min="8" max="8" width="9.28125" style="5" customWidth="1"/>
    <col min="9" max="10" width="9.57421875" style="5" customWidth="1"/>
    <col min="11" max="11" width="10.7109375" style="5" customWidth="1"/>
    <col min="12" max="12" width="8.00390625" style="5" customWidth="1"/>
    <col min="13" max="14" width="8.421875" style="5" customWidth="1"/>
    <col min="15" max="15" width="9.8515625" style="374" customWidth="1"/>
    <col min="16" max="16" width="10.28125" style="5" customWidth="1"/>
    <col min="17" max="18" width="9.140625" style="5" customWidth="1"/>
    <col min="19" max="19" width="9.421875" style="5" customWidth="1"/>
    <col min="20" max="20" width="11.28125" style="5" customWidth="1"/>
    <col min="21" max="23" width="8.421875" style="4" customWidth="1"/>
    <col min="24" max="24" width="9.8515625" style="5" customWidth="1"/>
    <col min="25" max="26" width="8.00390625" style="5" customWidth="1"/>
    <col min="27" max="27" width="8.421875" style="5" customWidth="1"/>
    <col min="28" max="28" width="11.00390625" style="374" customWidth="1"/>
    <col min="29" max="29" width="9.00390625" style="5" customWidth="1"/>
    <col min="30" max="31" width="9.28125" style="5" customWidth="1"/>
    <col min="32" max="33" width="9.57421875" style="5" customWidth="1"/>
    <col min="34" max="35" width="8.00390625" style="5" customWidth="1"/>
    <col min="36" max="36" width="8.421875" style="5" customWidth="1"/>
    <col min="37" max="37" width="11.00390625" style="374" customWidth="1"/>
    <col min="38" max="38" width="9.00390625" style="5" customWidth="1"/>
    <col min="39" max="40" width="9.28125" style="5" customWidth="1"/>
    <col min="41" max="42" width="9.57421875" style="5" customWidth="1"/>
    <col min="43" max="16384" width="9.140625" style="5" customWidth="1"/>
  </cols>
  <sheetData>
    <row r="1" spans="1:42" ht="16.5">
      <c r="A1" s="32"/>
      <c r="B1" s="236" t="s">
        <v>218</v>
      </c>
      <c r="C1" s="33"/>
      <c r="D1" s="33"/>
      <c r="E1" s="33"/>
      <c r="G1" s="33"/>
      <c r="H1" s="33"/>
      <c r="I1" s="33"/>
      <c r="J1" s="33"/>
      <c r="K1" s="3"/>
      <c r="L1" s="23"/>
      <c r="M1" s="190"/>
      <c r="N1" s="23"/>
      <c r="O1" s="409"/>
      <c r="P1" s="190"/>
      <c r="Q1" s="23"/>
      <c r="R1" s="23"/>
      <c r="S1" s="328"/>
      <c r="T1" s="137" t="s">
        <v>242</v>
      </c>
      <c r="U1" s="190"/>
      <c r="V1" s="190"/>
      <c r="W1" s="190"/>
      <c r="X1" s="23"/>
      <c r="Y1" s="33"/>
      <c r="Z1" s="33"/>
      <c r="AA1" s="33"/>
      <c r="AC1" s="33"/>
      <c r="AD1" s="33"/>
      <c r="AE1" s="33"/>
      <c r="AF1" s="33"/>
      <c r="AG1" s="3"/>
      <c r="AH1" s="33"/>
      <c r="AI1" s="33"/>
      <c r="AJ1" s="33"/>
      <c r="AL1" s="33"/>
      <c r="AM1" s="33"/>
      <c r="AN1" s="33"/>
      <c r="AO1" s="33"/>
      <c r="AP1" s="3"/>
    </row>
    <row r="2" spans="1:42" ht="16.5" customHeight="1" thickBot="1">
      <c r="A2" s="32"/>
      <c r="B2" s="24"/>
      <c r="C2" s="187"/>
      <c r="D2" s="187"/>
      <c r="E2" s="187"/>
      <c r="F2" s="375"/>
      <c r="G2" s="187"/>
      <c r="H2" s="24"/>
      <c r="I2" s="187"/>
      <c r="J2" s="9"/>
      <c r="K2" s="188"/>
      <c r="L2" s="9"/>
      <c r="M2" s="9"/>
      <c r="N2" s="188"/>
      <c r="O2" s="399"/>
      <c r="P2" s="237"/>
      <c r="Q2" s="238"/>
      <c r="R2" s="238"/>
      <c r="S2" s="902" t="s">
        <v>27</v>
      </c>
      <c r="T2" s="902"/>
      <c r="U2" s="902"/>
      <c r="V2" s="137"/>
      <c r="W2" s="137"/>
      <c r="X2" s="152"/>
      <c r="Y2" s="9"/>
      <c r="Z2" s="9"/>
      <c r="AA2" s="9"/>
      <c r="AB2" s="406"/>
      <c r="AC2" s="9"/>
      <c r="AD2" s="6"/>
      <c r="AE2" s="6"/>
      <c r="AF2" s="9"/>
      <c r="AG2" s="188"/>
      <c r="AH2" s="9"/>
      <c r="AI2" s="9"/>
      <c r="AJ2" s="9"/>
      <c r="AK2" s="406"/>
      <c r="AL2" s="9"/>
      <c r="AM2" s="6"/>
      <c r="AN2" s="6"/>
      <c r="AO2" s="9"/>
      <c r="AP2" s="188"/>
    </row>
    <row r="3" spans="1:42" s="191" customFormat="1" ht="25.5" customHeight="1">
      <c r="A3" s="32"/>
      <c r="B3" s="423" t="s">
        <v>28</v>
      </c>
      <c r="C3" s="138"/>
      <c r="D3" s="138"/>
      <c r="E3" s="138"/>
      <c r="F3" s="376"/>
      <c r="G3" s="33"/>
      <c r="H3" s="189"/>
      <c r="I3" s="33"/>
      <c r="J3" s="33"/>
      <c r="K3" s="33"/>
      <c r="L3" s="33"/>
      <c r="M3" s="138"/>
      <c r="N3" s="190"/>
      <c r="O3" s="383"/>
      <c r="P3" s="36"/>
      <c r="Q3" s="190"/>
      <c r="R3" s="190"/>
      <c r="S3" s="33"/>
      <c r="T3" s="43" t="s">
        <v>216</v>
      </c>
      <c r="U3" s="36"/>
      <c r="V3" s="36"/>
      <c r="W3" s="36"/>
      <c r="X3" s="190"/>
      <c r="Y3" s="138"/>
      <c r="Z3" s="138"/>
      <c r="AA3" s="138"/>
      <c r="AB3" s="376"/>
      <c r="AC3" s="33"/>
      <c r="AD3" s="189"/>
      <c r="AE3" s="189"/>
      <c r="AF3" s="33"/>
      <c r="AG3" s="33"/>
      <c r="AH3" s="138"/>
      <c r="AI3" s="138"/>
      <c r="AJ3" s="138"/>
      <c r="AK3" s="376"/>
      <c r="AL3" s="33"/>
      <c r="AM3" s="189"/>
      <c r="AN3" s="189"/>
      <c r="AO3" s="33"/>
      <c r="AP3" s="33"/>
    </row>
    <row r="4" spans="1:42" ht="17.25" customHeight="1">
      <c r="A4" s="260"/>
      <c r="B4" s="261"/>
      <c r="C4" s="262" t="s">
        <v>463</v>
      </c>
      <c r="D4" s="262"/>
      <c r="E4" s="262"/>
      <c r="F4" s="407"/>
      <c r="G4" s="263"/>
      <c r="H4" s="264"/>
      <c r="I4" s="265"/>
      <c r="J4" s="265"/>
      <c r="K4" s="266"/>
      <c r="L4" s="267" t="s">
        <v>455</v>
      </c>
      <c r="M4" s="262"/>
      <c r="N4" s="262"/>
      <c r="O4" s="407"/>
      <c r="P4" s="268"/>
      <c r="Q4" s="265"/>
      <c r="R4" s="265"/>
      <c r="S4" s="266"/>
      <c r="T4" s="266"/>
      <c r="U4" s="972" t="s">
        <v>249</v>
      </c>
      <c r="V4" s="961"/>
      <c r="W4" s="961"/>
      <c r="X4" s="962"/>
      <c r="Y4" s="262" t="s">
        <v>477</v>
      </c>
      <c r="Z4" s="262"/>
      <c r="AA4" s="262"/>
      <c r="AB4" s="407"/>
      <c r="AC4" s="263"/>
      <c r="AD4" s="264"/>
      <c r="AE4" s="264"/>
      <c r="AF4" s="265"/>
      <c r="AG4" s="266"/>
      <c r="AH4" s="262" t="s">
        <v>524</v>
      </c>
      <c r="AI4" s="262"/>
      <c r="AJ4" s="262"/>
      <c r="AK4" s="407"/>
      <c r="AL4" s="263"/>
      <c r="AM4" s="264"/>
      <c r="AN4" s="264"/>
      <c r="AO4" s="265"/>
      <c r="AP4" s="266"/>
    </row>
    <row r="5" spans="1:42" s="191" customFormat="1" ht="16.5" customHeight="1">
      <c r="A5" s="269"/>
      <c r="B5" s="270"/>
      <c r="C5" s="260"/>
      <c r="D5" s="260"/>
      <c r="E5" s="260"/>
      <c r="F5" s="640"/>
      <c r="G5" s="273" t="s">
        <v>247</v>
      </c>
      <c r="H5" s="273"/>
      <c r="I5" s="273"/>
      <c r="J5" s="23"/>
      <c r="K5" s="239"/>
      <c r="L5" s="260"/>
      <c r="M5" s="260"/>
      <c r="N5" s="260"/>
      <c r="O5" s="383"/>
      <c r="P5" s="273" t="s">
        <v>247</v>
      </c>
      <c r="Q5" s="273"/>
      <c r="R5" s="273"/>
      <c r="S5" s="23"/>
      <c r="T5" s="239"/>
      <c r="U5" s="260"/>
      <c r="V5" s="973" t="s">
        <v>244</v>
      </c>
      <c r="W5" s="973" t="s">
        <v>247</v>
      </c>
      <c r="X5" s="260"/>
      <c r="Y5" s="260"/>
      <c r="Z5" s="260"/>
      <c r="AA5" s="260"/>
      <c r="AB5" s="408" t="s">
        <v>247</v>
      </c>
      <c r="AC5" s="271"/>
      <c r="AD5" s="272"/>
      <c r="AE5" s="272"/>
      <c r="AF5" s="266"/>
      <c r="AG5" s="239"/>
      <c r="AH5" s="260"/>
      <c r="AI5" s="260"/>
      <c r="AJ5" s="260"/>
      <c r="AK5" s="408" t="s">
        <v>247</v>
      </c>
      <c r="AL5" s="271"/>
      <c r="AM5" s="272"/>
      <c r="AN5" s="272"/>
      <c r="AO5" s="266"/>
      <c r="AP5" s="239"/>
    </row>
    <row r="6" spans="1:42" s="191" customFormat="1" ht="89.25">
      <c r="A6" s="243" t="s">
        <v>111</v>
      </c>
      <c r="B6" s="66" t="s">
        <v>219</v>
      </c>
      <c r="C6" s="66" t="s">
        <v>212</v>
      </c>
      <c r="D6" s="66" t="s">
        <v>243</v>
      </c>
      <c r="E6" s="276" t="s">
        <v>244</v>
      </c>
      <c r="F6" s="564" t="s">
        <v>313</v>
      </c>
      <c r="G6" s="293" t="s">
        <v>297</v>
      </c>
      <c r="H6" s="293" t="s">
        <v>245</v>
      </c>
      <c r="I6" s="293" t="s">
        <v>298</v>
      </c>
      <c r="J6" s="293" t="s">
        <v>539</v>
      </c>
      <c r="K6" s="276" t="s">
        <v>246</v>
      </c>
      <c r="L6" s="66" t="s">
        <v>212</v>
      </c>
      <c r="M6" s="66" t="s">
        <v>243</v>
      </c>
      <c r="N6" s="276" t="s">
        <v>244</v>
      </c>
      <c r="O6" s="564" t="s">
        <v>313</v>
      </c>
      <c r="P6" s="293" t="s">
        <v>297</v>
      </c>
      <c r="Q6" s="293" t="s">
        <v>245</v>
      </c>
      <c r="R6" s="293" t="s">
        <v>536</v>
      </c>
      <c r="S6" s="293" t="s">
        <v>539</v>
      </c>
      <c r="T6" s="276" t="s">
        <v>246</v>
      </c>
      <c r="U6" s="66" t="s">
        <v>212</v>
      </c>
      <c r="V6" s="974"/>
      <c r="W6" s="974"/>
      <c r="X6" s="66" t="s">
        <v>248</v>
      </c>
      <c r="Y6" s="66" t="s">
        <v>212</v>
      </c>
      <c r="Z6" s="66" t="s">
        <v>243</v>
      </c>
      <c r="AA6" s="276" t="s">
        <v>244</v>
      </c>
      <c r="AB6" s="563" t="s">
        <v>313</v>
      </c>
      <c r="AC6" s="293" t="s">
        <v>297</v>
      </c>
      <c r="AD6" s="293" t="s">
        <v>245</v>
      </c>
      <c r="AE6" s="293" t="s">
        <v>536</v>
      </c>
      <c r="AF6" s="293" t="s">
        <v>539</v>
      </c>
      <c r="AG6" s="276" t="s">
        <v>246</v>
      </c>
      <c r="AH6" s="66" t="s">
        <v>212</v>
      </c>
      <c r="AI6" s="66" t="s">
        <v>243</v>
      </c>
      <c r="AJ6" s="276" t="s">
        <v>244</v>
      </c>
      <c r="AK6" s="563" t="s">
        <v>313</v>
      </c>
      <c r="AL6" s="293" t="s">
        <v>297</v>
      </c>
      <c r="AM6" s="293" t="s">
        <v>245</v>
      </c>
      <c r="AN6" s="293" t="s">
        <v>536</v>
      </c>
      <c r="AO6" s="293" t="s">
        <v>539</v>
      </c>
      <c r="AP6" s="276" t="s">
        <v>246</v>
      </c>
    </row>
    <row r="7" spans="1:42" s="15" customFormat="1" ht="12.75">
      <c r="A7" s="127">
        <v>1</v>
      </c>
      <c r="B7" s="127">
        <v>2</v>
      </c>
      <c r="C7" s="243">
        <v>3</v>
      </c>
      <c r="D7" s="127">
        <v>4</v>
      </c>
      <c r="E7" s="127">
        <v>5</v>
      </c>
      <c r="F7" s="384">
        <v>6</v>
      </c>
      <c r="G7" s="127">
        <v>7</v>
      </c>
      <c r="H7" s="127">
        <v>8</v>
      </c>
      <c r="I7" s="243">
        <v>9</v>
      </c>
      <c r="J7" s="243"/>
      <c r="K7" s="127">
        <v>10</v>
      </c>
      <c r="L7" s="127">
        <v>11</v>
      </c>
      <c r="M7" s="243">
        <v>12</v>
      </c>
      <c r="N7" s="127">
        <v>13</v>
      </c>
      <c r="O7" s="384">
        <v>14</v>
      </c>
      <c r="P7" s="243">
        <v>15</v>
      </c>
      <c r="Q7" s="127">
        <v>16</v>
      </c>
      <c r="R7" s="127"/>
      <c r="S7" s="127">
        <v>17</v>
      </c>
      <c r="T7" s="243">
        <v>18</v>
      </c>
      <c r="U7" s="127">
        <v>19</v>
      </c>
      <c r="V7" s="127">
        <v>20</v>
      </c>
      <c r="W7" s="243">
        <v>21</v>
      </c>
      <c r="X7" s="127">
        <v>22</v>
      </c>
      <c r="Y7" s="243">
        <v>23</v>
      </c>
      <c r="Z7" s="127">
        <v>24</v>
      </c>
      <c r="AA7" s="243">
        <v>25</v>
      </c>
      <c r="AB7" s="127">
        <v>26</v>
      </c>
      <c r="AC7" s="243">
        <v>27</v>
      </c>
      <c r="AD7" s="127">
        <v>28</v>
      </c>
      <c r="AE7" s="243"/>
      <c r="AF7" s="243">
        <v>29</v>
      </c>
      <c r="AG7" s="127">
        <v>30</v>
      </c>
      <c r="AH7" s="243">
        <v>31</v>
      </c>
      <c r="AI7" s="127">
        <v>32</v>
      </c>
      <c r="AJ7" s="243">
        <v>33</v>
      </c>
      <c r="AK7" s="127">
        <v>34</v>
      </c>
      <c r="AL7" s="243">
        <v>35</v>
      </c>
      <c r="AM7" s="127">
        <v>36</v>
      </c>
      <c r="AN7" s="243"/>
      <c r="AO7" s="243">
        <v>37</v>
      </c>
      <c r="AP7" s="127">
        <v>38</v>
      </c>
    </row>
    <row r="8" spans="1:42" ht="13.5">
      <c r="A8" s="104"/>
      <c r="B8" s="245" t="s">
        <v>250</v>
      </c>
      <c r="C8" s="104"/>
      <c r="D8" s="104"/>
      <c r="E8" s="232"/>
      <c r="F8" s="387"/>
      <c r="G8" s="232"/>
      <c r="H8" s="232"/>
      <c r="I8" s="232"/>
      <c r="J8" s="232"/>
      <c r="K8" s="232"/>
      <c r="L8" s="104"/>
      <c r="M8" s="104"/>
      <c r="N8" s="232"/>
      <c r="O8" s="387"/>
      <c r="P8" s="232"/>
      <c r="Q8" s="232"/>
      <c r="R8" s="232"/>
      <c r="S8" s="232"/>
      <c r="T8" s="232"/>
      <c r="U8" s="246"/>
      <c r="V8" s="246"/>
      <c r="W8" s="246"/>
      <c r="X8" s="72"/>
      <c r="Y8" s="104"/>
      <c r="Z8" s="104"/>
      <c r="AA8" s="232"/>
      <c r="AB8" s="387"/>
      <c r="AC8" s="232"/>
      <c r="AD8" s="232"/>
      <c r="AE8" s="232"/>
      <c r="AF8" s="232"/>
      <c r="AG8" s="232"/>
      <c r="AH8" s="104"/>
      <c r="AI8" s="104"/>
      <c r="AJ8" s="232"/>
      <c r="AK8" s="387"/>
      <c r="AL8" s="232"/>
      <c r="AM8" s="232"/>
      <c r="AN8" s="232"/>
      <c r="AO8" s="232"/>
      <c r="AP8" s="232"/>
    </row>
    <row r="9" spans="1:42" ht="13.5">
      <c r="A9" s="104"/>
      <c r="B9" s="245"/>
      <c r="C9" s="104"/>
      <c r="D9" s="104"/>
      <c r="E9" s="232"/>
      <c r="F9" s="387"/>
      <c r="G9" s="232"/>
      <c r="H9" s="232"/>
      <c r="I9" s="232"/>
      <c r="J9" s="232"/>
      <c r="K9" s="232"/>
      <c r="L9" s="104"/>
      <c r="M9" s="104"/>
      <c r="N9" s="232"/>
      <c r="O9" s="387"/>
      <c r="P9" s="232"/>
      <c r="Q9" s="232"/>
      <c r="R9" s="232"/>
      <c r="S9" s="232"/>
      <c r="T9" s="232"/>
      <c r="U9" s="246"/>
      <c r="V9" s="246"/>
      <c r="W9" s="246"/>
      <c r="X9" s="72"/>
      <c r="Y9" s="104"/>
      <c r="Z9" s="104"/>
      <c r="AA9" s="232"/>
      <c r="AB9" s="387"/>
      <c r="AC9" s="232"/>
      <c r="AD9" s="232"/>
      <c r="AE9" s="232"/>
      <c r="AF9" s="232"/>
      <c r="AG9" s="232"/>
      <c r="AH9" s="104"/>
      <c r="AI9" s="104"/>
      <c r="AJ9" s="232"/>
      <c r="AK9" s="387"/>
      <c r="AL9" s="232"/>
      <c r="AM9" s="232"/>
      <c r="AN9" s="232"/>
      <c r="AO9" s="232"/>
      <c r="AP9" s="232"/>
    </row>
    <row r="10" spans="1:42" ht="13.5">
      <c r="A10" s="104"/>
      <c r="B10" s="247" t="s">
        <v>110</v>
      </c>
      <c r="C10" s="246">
        <f>SUM(C12:C20)</f>
        <v>0</v>
      </c>
      <c r="D10" s="246" t="s">
        <v>1</v>
      </c>
      <c r="E10" s="246">
        <f aca="true" t="shared" si="0" ref="E10:X10">SUM(E12:E20)</f>
        <v>0</v>
      </c>
      <c r="F10" s="410">
        <f t="shared" si="0"/>
        <v>0</v>
      </c>
      <c r="G10" s="246">
        <f t="shared" si="0"/>
        <v>0</v>
      </c>
      <c r="H10" s="246">
        <f t="shared" si="0"/>
        <v>0</v>
      </c>
      <c r="I10" s="246">
        <f t="shared" si="0"/>
        <v>0</v>
      </c>
      <c r="J10" s="246">
        <f t="shared" si="0"/>
        <v>0</v>
      </c>
      <c r="K10" s="246">
        <f t="shared" si="0"/>
        <v>0</v>
      </c>
      <c r="L10" s="246">
        <f t="shared" si="0"/>
        <v>0</v>
      </c>
      <c r="M10" s="246" t="s">
        <v>1</v>
      </c>
      <c r="N10" s="246">
        <f>SUM(N12:N20)</f>
        <v>0</v>
      </c>
      <c r="O10" s="410">
        <f t="shared" si="0"/>
        <v>0</v>
      </c>
      <c r="P10" s="246">
        <f t="shared" si="0"/>
        <v>0</v>
      </c>
      <c r="Q10" s="246">
        <f t="shared" si="0"/>
        <v>0</v>
      </c>
      <c r="R10" s="246">
        <f t="shared" si="0"/>
        <v>0</v>
      </c>
      <c r="S10" s="246">
        <f t="shared" si="0"/>
        <v>0</v>
      </c>
      <c r="T10" s="246">
        <f t="shared" si="0"/>
        <v>0</v>
      </c>
      <c r="U10" s="246">
        <f t="shared" si="0"/>
        <v>0</v>
      </c>
      <c r="V10" s="246">
        <f t="shared" si="0"/>
        <v>0</v>
      </c>
      <c r="W10" s="246">
        <f t="shared" si="0"/>
        <v>0</v>
      </c>
      <c r="X10" s="246">
        <f t="shared" si="0"/>
        <v>0</v>
      </c>
      <c r="Y10" s="246">
        <f>SUM(Y12:Y20)</f>
        <v>0</v>
      </c>
      <c r="Z10" s="246" t="s">
        <v>1</v>
      </c>
      <c r="AA10" s="246">
        <f aca="true" t="shared" si="1" ref="AA10:AG10">SUM(AA12:AA20)</f>
        <v>0</v>
      </c>
      <c r="AB10" s="410">
        <f t="shared" si="1"/>
        <v>0</v>
      </c>
      <c r="AC10" s="246">
        <f t="shared" si="1"/>
        <v>0</v>
      </c>
      <c r="AD10" s="246">
        <f t="shared" si="1"/>
        <v>0</v>
      </c>
      <c r="AE10" s="246">
        <f t="shared" si="1"/>
        <v>0</v>
      </c>
      <c r="AF10" s="246">
        <f t="shared" si="1"/>
        <v>0</v>
      </c>
      <c r="AG10" s="246">
        <f t="shared" si="1"/>
        <v>0</v>
      </c>
      <c r="AH10" s="246">
        <f>SUM(AH12:AH20)</f>
        <v>0</v>
      </c>
      <c r="AI10" s="246" t="s">
        <v>1</v>
      </c>
      <c r="AJ10" s="246">
        <f aca="true" t="shared" si="2" ref="AJ10:AP10">SUM(AJ12:AJ20)</f>
        <v>0</v>
      </c>
      <c r="AK10" s="410">
        <f t="shared" si="2"/>
        <v>0</v>
      </c>
      <c r="AL10" s="246">
        <f t="shared" si="2"/>
        <v>0</v>
      </c>
      <c r="AM10" s="246">
        <f t="shared" si="2"/>
        <v>0</v>
      </c>
      <c r="AN10" s="246">
        <f t="shared" si="2"/>
        <v>0</v>
      </c>
      <c r="AO10" s="246">
        <f t="shared" si="2"/>
        <v>0</v>
      </c>
      <c r="AP10" s="246">
        <f t="shared" si="2"/>
        <v>0</v>
      </c>
    </row>
    <row r="11" spans="1:42" ht="13.5">
      <c r="A11" s="104"/>
      <c r="B11" s="207" t="s">
        <v>123</v>
      </c>
      <c r="C11" s="104"/>
      <c r="D11" s="104"/>
      <c r="E11" s="232"/>
      <c r="F11" s="387"/>
      <c r="G11" s="232"/>
      <c r="H11" s="232"/>
      <c r="I11" s="232"/>
      <c r="J11" s="232"/>
      <c r="K11" s="232"/>
      <c r="L11" s="104"/>
      <c r="M11" s="104"/>
      <c r="N11" s="232"/>
      <c r="O11" s="387"/>
      <c r="P11" s="232"/>
      <c r="Q11" s="232"/>
      <c r="R11" s="232"/>
      <c r="S11" s="232"/>
      <c r="T11" s="232"/>
      <c r="U11" s="246"/>
      <c r="V11" s="246"/>
      <c r="W11" s="246"/>
      <c r="X11" s="72"/>
      <c r="Y11" s="104"/>
      <c r="Z11" s="104"/>
      <c r="AA11" s="232"/>
      <c r="AB11" s="387"/>
      <c r="AC11" s="232"/>
      <c r="AD11" s="232"/>
      <c r="AE11" s="232"/>
      <c r="AF11" s="232"/>
      <c r="AG11" s="232"/>
      <c r="AH11" s="104"/>
      <c r="AI11" s="104"/>
      <c r="AJ11" s="232"/>
      <c r="AK11" s="387"/>
      <c r="AL11" s="232"/>
      <c r="AM11" s="232"/>
      <c r="AN11" s="232"/>
      <c r="AO11" s="232"/>
      <c r="AP11" s="232"/>
    </row>
    <row r="12" spans="1:42" ht="18.75" customHeight="1">
      <c r="A12" s="104">
        <v>1</v>
      </c>
      <c r="B12" s="104"/>
      <c r="C12" s="104"/>
      <c r="D12" s="104"/>
      <c r="E12" s="232"/>
      <c r="F12" s="387"/>
      <c r="G12" s="232"/>
      <c r="H12" s="232"/>
      <c r="I12" s="232"/>
      <c r="J12" s="232"/>
      <c r="K12" s="246">
        <f>E12+G12+H12+I12+J12</f>
        <v>0</v>
      </c>
      <c r="L12" s="104"/>
      <c r="M12" s="104"/>
      <c r="N12" s="232"/>
      <c r="O12" s="387"/>
      <c r="P12" s="232"/>
      <c r="Q12" s="232"/>
      <c r="R12" s="232"/>
      <c r="S12" s="232"/>
      <c r="T12" s="246">
        <f>+N12+P12+Q12+R12+S12</f>
        <v>0</v>
      </c>
      <c r="U12" s="246">
        <f aca="true" t="shared" si="3" ref="U12:U20">C12-L12</f>
        <v>0</v>
      </c>
      <c r="V12" s="246">
        <f aca="true" t="shared" si="4" ref="V12:V20">+E12-N12</f>
        <v>0</v>
      </c>
      <c r="W12" s="246">
        <f>+G12+H12+I12+J12-P12-Q12-R12-S12</f>
        <v>0</v>
      </c>
      <c r="X12" s="76">
        <f>K12-T12</f>
        <v>0</v>
      </c>
      <c r="Y12" s="104"/>
      <c r="Z12" s="104"/>
      <c r="AA12" s="232"/>
      <c r="AB12" s="387"/>
      <c r="AC12" s="232"/>
      <c r="AD12" s="232"/>
      <c r="AE12" s="232"/>
      <c r="AF12" s="232"/>
      <c r="AG12" s="246">
        <f>AA12+AC12+AD12+AE12+AF12</f>
        <v>0</v>
      </c>
      <c r="AH12" s="104"/>
      <c r="AI12" s="104"/>
      <c r="AJ12" s="232"/>
      <c r="AK12" s="387"/>
      <c r="AL12" s="232"/>
      <c r="AM12" s="232"/>
      <c r="AN12" s="232"/>
      <c r="AO12" s="232"/>
      <c r="AP12" s="246">
        <f>AJ12+AL12+AM12+AN12+AO12</f>
        <v>0</v>
      </c>
    </row>
    <row r="13" spans="1:42" ht="18.75" customHeight="1">
      <c r="A13" s="104">
        <v>2</v>
      </c>
      <c r="B13" s="104"/>
      <c r="C13" s="104"/>
      <c r="D13" s="104"/>
      <c r="E13" s="232"/>
      <c r="F13" s="387"/>
      <c r="G13" s="232"/>
      <c r="H13" s="232"/>
      <c r="I13" s="232"/>
      <c r="J13" s="232"/>
      <c r="K13" s="246">
        <f aca="true" t="shared" si="5" ref="K13:K20">E13+G13+H13+I13+J13</f>
        <v>0</v>
      </c>
      <c r="L13" s="104"/>
      <c r="M13" s="104"/>
      <c r="N13" s="232"/>
      <c r="O13" s="387"/>
      <c r="P13" s="232"/>
      <c r="Q13" s="232"/>
      <c r="R13" s="232"/>
      <c r="S13" s="232"/>
      <c r="T13" s="246">
        <f aca="true" t="shared" si="6" ref="T13:T20">+N13+P13+Q13+R13+S13</f>
        <v>0</v>
      </c>
      <c r="U13" s="246">
        <f t="shared" si="3"/>
        <v>0</v>
      </c>
      <c r="V13" s="246">
        <f t="shared" si="4"/>
        <v>0</v>
      </c>
      <c r="W13" s="246">
        <f aca="true" t="shared" si="7" ref="W13:W20">+G13+H13+I13+J13-P13-Q13-R13-S13</f>
        <v>0</v>
      </c>
      <c r="X13" s="76">
        <f aca="true" t="shared" si="8" ref="X13:X20">K13-T13</f>
        <v>0</v>
      </c>
      <c r="Y13" s="104"/>
      <c r="Z13" s="104"/>
      <c r="AA13" s="232"/>
      <c r="AB13" s="387"/>
      <c r="AC13" s="232"/>
      <c r="AD13" s="232"/>
      <c r="AE13" s="232"/>
      <c r="AF13" s="232"/>
      <c r="AG13" s="246">
        <f aca="true" t="shared" si="9" ref="AG13:AG20">AA13+AC13+AD13+AE13+AF13</f>
        <v>0</v>
      </c>
      <c r="AH13" s="104"/>
      <c r="AI13" s="104"/>
      <c r="AJ13" s="232"/>
      <c r="AK13" s="387"/>
      <c r="AL13" s="232"/>
      <c r="AM13" s="232"/>
      <c r="AN13" s="232"/>
      <c r="AO13" s="232"/>
      <c r="AP13" s="246">
        <f aca="true" t="shared" si="10" ref="AP13:AP20">AJ13+AL13+AM13+AN13+AO13</f>
        <v>0</v>
      </c>
    </row>
    <row r="14" spans="1:42" ht="18.75" customHeight="1">
      <c r="A14" s="104">
        <v>3</v>
      </c>
      <c r="B14" s="104"/>
      <c r="C14" s="104"/>
      <c r="D14" s="104"/>
      <c r="E14" s="232"/>
      <c r="F14" s="387"/>
      <c r="G14" s="232"/>
      <c r="H14" s="232"/>
      <c r="I14" s="232"/>
      <c r="J14" s="232"/>
      <c r="K14" s="246">
        <f t="shared" si="5"/>
        <v>0</v>
      </c>
      <c r="L14" s="104"/>
      <c r="M14" s="104"/>
      <c r="N14" s="232"/>
      <c r="O14" s="387"/>
      <c r="P14" s="232"/>
      <c r="Q14" s="232"/>
      <c r="R14" s="232"/>
      <c r="S14" s="232"/>
      <c r="T14" s="246">
        <f t="shared" si="6"/>
        <v>0</v>
      </c>
      <c r="U14" s="246">
        <f t="shared" si="3"/>
        <v>0</v>
      </c>
      <c r="V14" s="246">
        <f t="shared" si="4"/>
        <v>0</v>
      </c>
      <c r="W14" s="246">
        <f t="shared" si="7"/>
        <v>0</v>
      </c>
      <c r="X14" s="76">
        <f t="shared" si="8"/>
        <v>0</v>
      </c>
      <c r="Y14" s="104"/>
      <c r="Z14" s="104"/>
      <c r="AA14" s="232"/>
      <c r="AB14" s="387"/>
      <c r="AC14" s="232"/>
      <c r="AD14" s="232"/>
      <c r="AE14" s="232"/>
      <c r="AF14" s="232"/>
      <c r="AG14" s="246">
        <f t="shared" si="9"/>
        <v>0</v>
      </c>
      <c r="AH14" s="104"/>
      <c r="AI14" s="104"/>
      <c r="AJ14" s="232"/>
      <c r="AK14" s="387"/>
      <c r="AL14" s="232"/>
      <c r="AM14" s="232"/>
      <c r="AN14" s="232"/>
      <c r="AO14" s="232"/>
      <c r="AP14" s="246">
        <f t="shared" si="10"/>
        <v>0</v>
      </c>
    </row>
    <row r="15" spans="1:42" ht="18.75" customHeight="1">
      <c r="A15" s="104">
        <v>4</v>
      </c>
      <c r="B15" s="104"/>
      <c r="C15" s="104"/>
      <c r="D15" s="104"/>
      <c r="E15" s="232"/>
      <c r="F15" s="387"/>
      <c r="G15" s="232"/>
      <c r="H15" s="232"/>
      <c r="I15" s="232"/>
      <c r="J15" s="232"/>
      <c r="K15" s="246">
        <f t="shared" si="5"/>
        <v>0</v>
      </c>
      <c r="L15" s="104"/>
      <c r="M15" s="104"/>
      <c r="N15" s="232"/>
      <c r="O15" s="387"/>
      <c r="P15" s="232"/>
      <c r="Q15" s="232"/>
      <c r="R15" s="232"/>
      <c r="S15" s="232"/>
      <c r="T15" s="246">
        <f t="shared" si="6"/>
        <v>0</v>
      </c>
      <c r="U15" s="246">
        <f t="shared" si="3"/>
        <v>0</v>
      </c>
      <c r="V15" s="246">
        <f t="shared" si="4"/>
        <v>0</v>
      </c>
      <c r="W15" s="246">
        <f t="shared" si="7"/>
        <v>0</v>
      </c>
      <c r="X15" s="76">
        <f t="shared" si="8"/>
        <v>0</v>
      </c>
      <c r="Y15" s="104"/>
      <c r="Z15" s="104"/>
      <c r="AA15" s="232"/>
      <c r="AB15" s="387"/>
      <c r="AC15" s="232"/>
      <c r="AD15" s="232"/>
      <c r="AE15" s="232"/>
      <c r="AF15" s="232"/>
      <c r="AG15" s="246">
        <f t="shared" si="9"/>
        <v>0</v>
      </c>
      <c r="AH15" s="104"/>
      <c r="AI15" s="104"/>
      <c r="AJ15" s="232"/>
      <c r="AK15" s="387"/>
      <c r="AL15" s="232"/>
      <c r="AM15" s="232"/>
      <c r="AN15" s="232"/>
      <c r="AO15" s="232"/>
      <c r="AP15" s="246">
        <f t="shared" si="10"/>
        <v>0</v>
      </c>
    </row>
    <row r="16" spans="1:42" ht="18.75" customHeight="1">
      <c r="A16" s="104">
        <v>5</v>
      </c>
      <c r="B16" s="104"/>
      <c r="C16" s="104"/>
      <c r="D16" s="104"/>
      <c r="E16" s="232"/>
      <c r="F16" s="387"/>
      <c r="G16" s="232"/>
      <c r="H16" s="232"/>
      <c r="I16" s="232"/>
      <c r="J16" s="232"/>
      <c r="K16" s="246">
        <f t="shared" si="5"/>
        <v>0</v>
      </c>
      <c r="L16" s="104"/>
      <c r="M16" s="104"/>
      <c r="N16" s="232"/>
      <c r="O16" s="387"/>
      <c r="P16" s="232"/>
      <c r="Q16" s="232"/>
      <c r="R16" s="232"/>
      <c r="S16" s="232"/>
      <c r="T16" s="246">
        <f t="shared" si="6"/>
        <v>0</v>
      </c>
      <c r="U16" s="246">
        <f t="shared" si="3"/>
        <v>0</v>
      </c>
      <c r="V16" s="246">
        <f t="shared" si="4"/>
        <v>0</v>
      </c>
      <c r="W16" s="246">
        <f t="shared" si="7"/>
        <v>0</v>
      </c>
      <c r="X16" s="76">
        <f t="shared" si="8"/>
        <v>0</v>
      </c>
      <c r="Y16" s="104"/>
      <c r="Z16" s="104"/>
      <c r="AA16" s="232"/>
      <c r="AB16" s="387"/>
      <c r="AC16" s="232"/>
      <c r="AD16" s="232"/>
      <c r="AE16" s="232"/>
      <c r="AF16" s="232"/>
      <c r="AG16" s="246">
        <f t="shared" si="9"/>
        <v>0</v>
      </c>
      <c r="AH16" s="104"/>
      <c r="AI16" s="104"/>
      <c r="AJ16" s="232"/>
      <c r="AK16" s="387"/>
      <c r="AL16" s="232"/>
      <c r="AM16" s="232"/>
      <c r="AN16" s="232"/>
      <c r="AO16" s="232"/>
      <c r="AP16" s="246">
        <f t="shared" si="10"/>
        <v>0</v>
      </c>
    </row>
    <row r="17" spans="1:42" ht="18.75" customHeight="1">
      <c r="A17" s="104">
        <v>6</v>
      </c>
      <c r="B17" s="104"/>
      <c r="C17" s="104"/>
      <c r="D17" s="104"/>
      <c r="E17" s="232"/>
      <c r="F17" s="387"/>
      <c r="G17" s="232"/>
      <c r="H17" s="232"/>
      <c r="I17" s="232"/>
      <c r="J17" s="232"/>
      <c r="K17" s="246">
        <f t="shared" si="5"/>
        <v>0</v>
      </c>
      <c r="L17" s="104"/>
      <c r="M17" s="104"/>
      <c r="N17" s="232"/>
      <c r="O17" s="387"/>
      <c r="P17" s="232"/>
      <c r="Q17" s="232"/>
      <c r="R17" s="232"/>
      <c r="S17" s="232"/>
      <c r="T17" s="246">
        <f t="shared" si="6"/>
        <v>0</v>
      </c>
      <c r="U17" s="246">
        <f t="shared" si="3"/>
        <v>0</v>
      </c>
      <c r="V17" s="246">
        <f t="shared" si="4"/>
        <v>0</v>
      </c>
      <c r="W17" s="246">
        <f t="shared" si="7"/>
        <v>0</v>
      </c>
      <c r="X17" s="76">
        <f t="shared" si="8"/>
        <v>0</v>
      </c>
      <c r="Y17" s="104"/>
      <c r="Z17" s="104"/>
      <c r="AA17" s="232"/>
      <c r="AB17" s="387"/>
      <c r="AC17" s="232"/>
      <c r="AD17" s="232"/>
      <c r="AE17" s="232"/>
      <c r="AF17" s="232"/>
      <c r="AG17" s="246">
        <f t="shared" si="9"/>
        <v>0</v>
      </c>
      <c r="AH17" s="104"/>
      <c r="AI17" s="104"/>
      <c r="AJ17" s="232"/>
      <c r="AK17" s="387"/>
      <c r="AL17" s="232"/>
      <c r="AM17" s="232"/>
      <c r="AN17" s="232"/>
      <c r="AO17" s="232"/>
      <c r="AP17" s="246">
        <f t="shared" si="10"/>
        <v>0</v>
      </c>
    </row>
    <row r="18" spans="1:42" ht="18.75" customHeight="1">
      <c r="A18" s="104">
        <v>7</v>
      </c>
      <c r="B18" s="104"/>
      <c r="C18" s="104"/>
      <c r="D18" s="104"/>
      <c r="E18" s="232"/>
      <c r="F18" s="387"/>
      <c r="G18" s="232"/>
      <c r="H18" s="232"/>
      <c r="I18" s="232"/>
      <c r="J18" s="232"/>
      <c r="K18" s="246">
        <f t="shared" si="5"/>
        <v>0</v>
      </c>
      <c r="L18" s="104"/>
      <c r="M18" s="104"/>
      <c r="N18" s="232"/>
      <c r="O18" s="387"/>
      <c r="P18" s="232"/>
      <c r="Q18" s="232"/>
      <c r="R18" s="232"/>
      <c r="S18" s="232"/>
      <c r="T18" s="246">
        <f t="shared" si="6"/>
        <v>0</v>
      </c>
      <c r="U18" s="246">
        <f t="shared" si="3"/>
        <v>0</v>
      </c>
      <c r="V18" s="246">
        <f t="shared" si="4"/>
        <v>0</v>
      </c>
      <c r="W18" s="246">
        <f t="shared" si="7"/>
        <v>0</v>
      </c>
      <c r="X18" s="76">
        <f t="shared" si="8"/>
        <v>0</v>
      </c>
      <c r="Y18" s="104"/>
      <c r="Z18" s="104"/>
      <c r="AA18" s="232"/>
      <c r="AB18" s="387"/>
      <c r="AC18" s="232"/>
      <c r="AD18" s="232"/>
      <c r="AE18" s="232"/>
      <c r="AF18" s="232"/>
      <c r="AG18" s="246">
        <f t="shared" si="9"/>
        <v>0</v>
      </c>
      <c r="AH18" s="104"/>
      <c r="AI18" s="104"/>
      <c r="AJ18" s="232"/>
      <c r="AK18" s="387"/>
      <c r="AL18" s="232"/>
      <c r="AM18" s="232"/>
      <c r="AN18" s="232"/>
      <c r="AO18" s="232"/>
      <c r="AP18" s="246">
        <f t="shared" si="10"/>
        <v>0</v>
      </c>
    </row>
    <row r="19" spans="1:42" ht="18.75" customHeight="1">
      <c r="A19" s="104">
        <v>8</v>
      </c>
      <c r="B19" s="104"/>
      <c r="C19" s="104"/>
      <c r="D19" s="104"/>
      <c r="E19" s="232"/>
      <c r="F19" s="387"/>
      <c r="G19" s="232"/>
      <c r="H19" s="232"/>
      <c r="I19" s="232"/>
      <c r="J19" s="232"/>
      <c r="K19" s="246">
        <f t="shared" si="5"/>
        <v>0</v>
      </c>
      <c r="L19" s="104"/>
      <c r="M19" s="104"/>
      <c r="N19" s="232"/>
      <c r="O19" s="387"/>
      <c r="P19" s="232"/>
      <c r="Q19" s="232"/>
      <c r="R19" s="232"/>
      <c r="S19" s="232"/>
      <c r="T19" s="246">
        <f t="shared" si="6"/>
        <v>0</v>
      </c>
      <c r="U19" s="246">
        <f t="shared" si="3"/>
        <v>0</v>
      </c>
      <c r="V19" s="246">
        <f t="shared" si="4"/>
        <v>0</v>
      </c>
      <c r="W19" s="246">
        <f t="shared" si="7"/>
        <v>0</v>
      </c>
      <c r="X19" s="76">
        <f t="shared" si="8"/>
        <v>0</v>
      </c>
      <c r="Y19" s="104"/>
      <c r="Z19" s="104"/>
      <c r="AA19" s="232"/>
      <c r="AB19" s="387"/>
      <c r="AC19" s="232"/>
      <c r="AD19" s="232"/>
      <c r="AE19" s="232"/>
      <c r="AF19" s="232"/>
      <c r="AG19" s="246">
        <f t="shared" si="9"/>
        <v>0</v>
      </c>
      <c r="AH19" s="104"/>
      <c r="AI19" s="104"/>
      <c r="AJ19" s="232"/>
      <c r="AK19" s="387"/>
      <c r="AL19" s="232"/>
      <c r="AM19" s="232"/>
      <c r="AN19" s="232"/>
      <c r="AO19" s="232"/>
      <c r="AP19" s="246">
        <f t="shared" si="10"/>
        <v>0</v>
      </c>
    </row>
    <row r="20" spans="1:42" ht="18.75" customHeight="1">
      <c r="A20" s="104">
        <v>9</v>
      </c>
      <c r="B20" s="104"/>
      <c r="C20" s="104"/>
      <c r="D20" s="104"/>
      <c r="E20" s="232"/>
      <c r="F20" s="387"/>
      <c r="G20" s="232"/>
      <c r="H20" s="232"/>
      <c r="I20" s="232"/>
      <c r="J20" s="232"/>
      <c r="K20" s="246">
        <f t="shared" si="5"/>
        <v>0</v>
      </c>
      <c r="L20" s="104"/>
      <c r="M20" s="104"/>
      <c r="N20" s="232"/>
      <c r="O20" s="387"/>
      <c r="P20" s="232"/>
      <c r="Q20" s="232"/>
      <c r="R20" s="232"/>
      <c r="S20" s="232"/>
      <c r="T20" s="246">
        <f t="shared" si="6"/>
        <v>0</v>
      </c>
      <c r="U20" s="246">
        <f t="shared" si="3"/>
        <v>0</v>
      </c>
      <c r="V20" s="246">
        <f t="shared" si="4"/>
        <v>0</v>
      </c>
      <c r="W20" s="246">
        <f t="shared" si="7"/>
        <v>0</v>
      </c>
      <c r="X20" s="76">
        <f t="shared" si="8"/>
        <v>0</v>
      </c>
      <c r="Y20" s="104"/>
      <c r="Z20" s="104"/>
      <c r="AA20" s="232"/>
      <c r="AB20" s="387"/>
      <c r="AC20" s="232"/>
      <c r="AD20" s="232"/>
      <c r="AE20" s="232"/>
      <c r="AF20" s="232"/>
      <c r="AG20" s="246">
        <f t="shared" si="9"/>
        <v>0</v>
      </c>
      <c r="AH20" s="104"/>
      <c r="AI20" s="104"/>
      <c r="AJ20" s="232"/>
      <c r="AK20" s="387"/>
      <c r="AL20" s="232"/>
      <c r="AM20" s="232"/>
      <c r="AN20" s="232"/>
      <c r="AO20" s="232"/>
      <c r="AP20" s="246">
        <f t="shared" si="10"/>
        <v>0</v>
      </c>
    </row>
  </sheetData>
  <sheetProtection/>
  <mergeCells count="4">
    <mergeCell ref="V5:V6"/>
    <mergeCell ref="W5:W6"/>
    <mergeCell ref="S2:U2"/>
    <mergeCell ref="U4:X4"/>
  </mergeCells>
  <printOptions/>
  <pageMargins left="0.75" right="0.75" top="1" bottom="1" header="0.5" footer="0.5"/>
  <pageSetup horizontalDpi="600" verticalDpi="60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J49"/>
  <sheetViews>
    <sheetView zoomScalePageLayoutView="0" workbookViewId="0" topLeftCell="M1">
      <selection activeCell="B4" sqref="B3:L4"/>
    </sheetView>
  </sheetViews>
  <sheetFormatPr defaultColWidth="9.140625" defaultRowHeight="12.75"/>
  <cols>
    <col min="1" max="1" width="3.57421875" style="4" customWidth="1"/>
    <col min="2" max="2" width="27.28125" style="5" customWidth="1"/>
    <col min="3" max="3" width="16.57421875" style="5" customWidth="1"/>
    <col min="4" max="4" width="8.140625" style="5" customWidth="1"/>
    <col min="5" max="5" width="10.57421875" style="5" customWidth="1"/>
    <col min="6" max="6" width="12.140625" style="5" customWidth="1"/>
    <col min="7" max="7" width="8.00390625" style="5" customWidth="1"/>
    <col min="8" max="8" width="11.421875" style="5" customWidth="1"/>
    <col min="9" max="9" width="10.57421875" style="5" customWidth="1"/>
    <col min="10" max="10" width="9.00390625" style="5" bestFit="1" customWidth="1"/>
    <col min="11" max="20" width="12.57421875" style="5" customWidth="1"/>
    <col min="21" max="21" width="9.00390625" style="5" bestFit="1" customWidth="1"/>
    <col min="22" max="22" width="12.57421875" style="5" customWidth="1"/>
    <col min="23" max="23" width="10.57421875" style="5" customWidth="1"/>
    <col min="24" max="24" width="12.140625" style="5" customWidth="1"/>
    <col min="25" max="25" width="8.00390625" style="5" customWidth="1"/>
    <col min="26" max="26" width="11.421875" style="5" customWidth="1"/>
    <col min="27" max="27" width="10.57421875" style="5" customWidth="1"/>
    <col min="28" max="28" width="9.00390625" style="5" bestFit="1" customWidth="1"/>
    <col min="29" max="29" width="9.8515625" style="5" bestFit="1" customWidth="1"/>
    <col min="30" max="30" width="10.57421875" style="5" customWidth="1"/>
    <col min="31" max="31" width="12.140625" style="5" customWidth="1"/>
    <col min="32" max="32" width="8.00390625" style="5" customWidth="1"/>
    <col min="33" max="33" width="11.421875" style="5" customWidth="1"/>
    <col min="34" max="34" width="10.57421875" style="5" customWidth="1"/>
    <col min="35" max="35" width="9.00390625" style="5" bestFit="1" customWidth="1"/>
    <col min="36" max="36" width="9.8515625" style="5" bestFit="1" customWidth="1"/>
    <col min="37" max="16384" width="9.140625" style="5" customWidth="1"/>
  </cols>
  <sheetData>
    <row r="1" spans="1:36" ht="16.5">
      <c r="A1" s="32"/>
      <c r="B1" s="236" t="s">
        <v>218</v>
      </c>
      <c r="C1" s="33"/>
      <c r="D1" s="33"/>
      <c r="E1" s="33"/>
      <c r="F1" s="33"/>
      <c r="G1" s="33"/>
      <c r="H1" s="33"/>
      <c r="I1" s="3"/>
      <c r="J1" s="138"/>
      <c r="K1" s="138"/>
      <c r="L1" s="138"/>
      <c r="M1" s="33"/>
      <c r="N1" s="138"/>
      <c r="O1" s="32"/>
      <c r="P1" s="137" t="s">
        <v>251</v>
      </c>
      <c r="Q1" s="33"/>
      <c r="R1" s="138"/>
      <c r="S1" s="33"/>
      <c r="T1" s="138"/>
      <c r="U1" s="33"/>
      <c r="V1" s="138"/>
      <c r="W1" s="190"/>
      <c r="X1" s="190"/>
      <c r="Y1" s="190"/>
      <c r="Z1" s="190"/>
      <c r="AA1" s="3"/>
      <c r="AB1" s="23"/>
      <c r="AC1" s="23"/>
      <c r="AD1" s="190"/>
      <c r="AE1" s="190"/>
      <c r="AF1" s="190"/>
      <c r="AG1" s="190"/>
      <c r="AH1" s="3"/>
      <c r="AI1" s="138"/>
      <c r="AJ1" s="138"/>
    </row>
    <row r="2" spans="1:36" ht="16.5" customHeight="1" thickBot="1">
      <c r="A2" s="32"/>
      <c r="B2" s="24"/>
      <c r="C2" s="187"/>
      <c r="D2" s="187"/>
      <c r="E2" s="187"/>
      <c r="F2" s="187"/>
      <c r="G2" s="24"/>
      <c r="H2" s="187"/>
      <c r="I2" s="188"/>
      <c r="J2" s="9"/>
      <c r="K2" s="188"/>
      <c r="L2" s="188"/>
      <c r="M2" s="237"/>
      <c r="N2" s="238"/>
      <c r="P2" s="424" t="s">
        <v>27</v>
      </c>
      <c r="Q2" s="152"/>
      <c r="R2" s="152"/>
      <c r="S2" s="152"/>
      <c r="T2" s="152"/>
      <c r="U2" s="152"/>
      <c r="V2" s="152"/>
      <c r="W2" s="9"/>
      <c r="X2" s="9"/>
      <c r="Y2" s="6"/>
      <c r="Z2" s="9"/>
      <c r="AA2" s="188"/>
      <c r="AB2" s="9"/>
      <c r="AC2" s="188"/>
      <c r="AD2" s="9"/>
      <c r="AE2" s="9"/>
      <c r="AF2" s="6"/>
      <c r="AG2" s="9"/>
      <c r="AH2" s="188"/>
      <c r="AI2" s="9"/>
      <c r="AJ2" s="188"/>
    </row>
    <row r="3" spans="1:36" s="191" customFormat="1" ht="25.5" customHeight="1">
      <c r="A3" s="32"/>
      <c r="B3" s="423" t="s">
        <v>28</v>
      </c>
      <c r="C3" s="138"/>
      <c r="D3" s="138"/>
      <c r="E3" s="138"/>
      <c r="F3" s="33"/>
      <c r="G3" s="189"/>
      <c r="H3" s="33"/>
      <c r="I3" s="33"/>
      <c r="J3" s="33"/>
      <c r="K3" s="190"/>
      <c r="L3" s="190"/>
      <c r="M3" s="36"/>
      <c r="N3" s="190"/>
      <c r="O3" s="33"/>
      <c r="P3" s="43" t="s">
        <v>216</v>
      </c>
      <c r="Q3" s="36"/>
      <c r="R3" s="190"/>
      <c r="S3" s="36"/>
      <c r="T3" s="190"/>
      <c r="U3" s="36"/>
      <c r="V3" s="190"/>
      <c r="W3" s="138"/>
      <c r="X3" s="33"/>
      <c r="Y3" s="189"/>
      <c r="Z3" s="33"/>
      <c r="AA3" s="33"/>
      <c r="AB3" s="33"/>
      <c r="AC3" s="190"/>
      <c r="AD3" s="138"/>
      <c r="AE3" s="33"/>
      <c r="AF3" s="189"/>
      <c r="AG3" s="33"/>
      <c r="AH3" s="33"/>
      <c r="AI3" s="33"/>
      <c r="AJ3" s="190"/>
    </row>
    <row r="4" spans="1:36" s="366" customFormat="1" ht="14.25">
      <c r="A4" s="282"/>
      <c r="B4" s="363"/>
      <c r="C4" s="364"/>
      <c r="D4" s="365"/>
      <c r="E4" s="365"/>
      <c r="F4" s="365"/>
      <c r="G4" s="367" t="s">
        <v>458</v>
      </c>
      <c r="H4" s="365"/>
      <c r="I4" s="365"/>
      <c r="J4" s="365"/>
      <c r="K4" s="365"/>
      <c r="L4" s="364"/>
      <c r="M4" s="975" t="s">
        <v>451</v>
      </c>
      <c r="N4" s="975"/>
      <c r="O4" s="975"/>
      <c r="P4" s="975"/>
      <c r="Q4" s="976"/>
      <c r="R4" s="977" t="s">
        <v>217</v>
      </c>
      <c r="S4" s="975"/>
      <c r="T4" s="975"/>
      <c r="U4" s="975"/>
      <c r="V4" s="976"/>
      <c r="W4" s="364"/>
      <c r="X4" s="365"/>
      <c r="Y4" s="367" t="s">
        <v>476</v>
      </c>
      <c r="Z4" s="365"/>
      <c r="AA4" s="365"/>
      <c r="AB4" s="365"/>
      <c r="AC4" s="467"/>
      <c r="AD4" s="364"/>
      <c r="AE4" s="365"/>
      <c r="AF4" s="367" t="s">
        <v>520</v>
      </c>
      <c r="AG4" s="365"/>
      <c r="AH4" s="365"/>
      <c r="AI4" s="365"/>
      <c r="AJ4" s="467"/>
    </row>
    <row r="5" spans="1:36" s="191" customFormat="1" ht="93.75">
      <c r="A5" s="243" t="s">
        <v>111</v>
      </c>
      <c r="B5" s="66" t="s">
        <v>219</v>
      </c>
      <c r="C5" s="66" t="s">
        <v>220</v>
      </c>
      <c r="D5" s="66" t="s">
        <v>221</v>
      </c>
      <c r="E5" s="66" t="s">
        <v>222</v>
      </c>
      <c r="F5" s="562" t="s">
        <v>457</v>
      </c>
      <c r="G5" s="66" t="s">
        <v>212</v>
      </c>
      <c r="H5" s="325" t="s">
        <v>314</v>
      </c>
      <c r="I5" s="66" t="s">
        <v>223</v>
      </c>
      <c r="J5" s="66" t="s">
        <v>224</v>
      </c>
      <c r="K5" s="66" t="s">
        <v>225</v>
      </c>
      <c r="L5" s="562" t="s">
        <v>456</v>
      </c>
      <c r="M5" s="66" t="s">
        <v>212</v>
      </c>
      <c r="N5" s="66" t="s">
        <v>284</v>
      </c>
      <c r="O5" s="66" t="s">
        <v>223</v>
      </c>
      <c r="P5" s="66" t="s">
        <v>224</v>
      </c>
      <c r="Q5" s="66" t="s">
        <v>299</v>
      </c>
      <c r="R5" s="66" t="s">
        <v>212</v>
      </c>
      <c r="S5" s="66" t="s">
        <v>284</v>
      </c>
      <c r="T5" s="66" t="s">
        <v>223</v>
      </c>
      <c r="U5" s="66" t="s">
        <v>224</v>
      </c>
      <c r="V5" s="66" t="s">
        <v>300</v>
      </c>
      <c r="W5" s="66" t="s">
        <v>222</v>
      </c>
      <c r="X5" s="562" t="s">
        <v>475</v>
      </c>
      <c r="Y5" s="66" t="s">
        <v>212</v>
      </c>
      <c r="Z5" s="66" t="s">
        <v>239</v>
      </c>
      <c r="AA5" s="66" t="s">
        <v>223</v>
      </c>
      <c r="AB5" s="66" t="s">
        <v>224</v>
      </c>
      <c r="AC5" s="66" t="s">
        <v>255</v>
      </c>
      <c r="AD5" s="66" t="s">
        <v>222</v>
      </c>
      <c r="AE5" s="562" t="s">
        <v>522</v>
      </c>
      <c r="AF5" s="66" t="s">
        <v>212</v>
      </c>
      <c r="AG5" s="66" t="s">
        <v>239</v>
      </c>
      <c r="AH5" s="66" t="s">
        <v>223</v>
      </c>
      <c r="AI5" s="66" t="s">
        <v>224</v>
      </c>
      <c r="AJ5" s="66" t="s">
        <v>255</v>
      </c>
    </row>
    <row r="6" spans="1:36" s="37" customFormat="1" ht="12.75">
      <c r="A6" s="127">
        <v>1</v>
      </c>
      <c r="B6" s="127">
        <v>2</v>
      </c>
      <c r="C6" s="127">
        <v>3</v>
      </c>
      <c r="D6" s="127">
        <v>4</v>
      </c>
      <c r="E6" s="127">
        <v>5</v>
      </c>
      <c r="F6" s="127">
        <v>6</v>
      </c>
      <c r="G6" s="127">
        <v>7</v>
      </c>
      <c r="H6" s="127">
        <v>8</v>
      </c>
      <c r="I6" s="127">
        <v>9</v>
      </c>
      <c r="J6" s="127">
        <v>10</v>
      </c>
      <c r="K6" s="127">
        <v>11</v>
      </c>
      <c r="L6" s="127">
        <v>12</v>
      </c>
      <c r="M6" s="127">
        <v>13</v>
      </c>
      <c r="N6" s="127">
        <v>14</v>
      </c>
      <c r="O6" s="127">
        <v>15</v>
      </c>
      <c r="P6" s="127">
        <v>16</v>
      </c>
      <c r="Q6" s="127">
        <v>17</v>
      </c>
      <c r="R6" s="127">
        <v>18</v>
      </c>
      <c r="S6" s="127">
        <v>19</v>
      </c>
      <c r="T6" s="127">
        <v>20</v>
      </c>
      <c r="U6" s="127">
        <v>21</v>
      </c>
      <c r="V6" s="127">
        <v>22</v>
      </c>
      <c r="W6" s="127">
        <v>23</v>
      </c>
      <c r="X6" s="127">
        <v>24</v>
      </c>
      <c r="Y6" s="127">
        <v>25</v>
      </c>
      <c r="Z6" s="127">
        <v>26</v>
      </c>
      <c r="AA6" s="127">
        <v>27</v>
      </c>
      <c r="AB6" s="127">
        <v>28</v>
      </c>
      <c r="AC6" s="127">
        <v>29</v>
      </c>
      <c r="AD6" s="127">
        <v>30</v>
      </c>
      <c r="AE6" s="127">
        <v>31</v>
      </c>
      <c r="AF6" s="127">
        <v>32</v>
      </c>
      <c r="AG6" s="127">
        <v>33</v>
      </c>
      <c r="AH6" s="127">
        <v>34</v>
      </c>
      <c r="AI6" s="127">
        <v>35</v>
      </c>
      <c r="AJ6" s="127">
        <v>36</v>
      </c>
    </row>
    <row r="7" spans="1:36" ht="14.25">
      <c r="A7" s="244" t="s">
        <v>2</v>
      </c>
      <c r="B7" s="245" t="s">
        <v>495</v>
      </c>
      <c r="C7" s="246"/>
      <c r="D7" s="246"/>
      <c r="E7" s="246"/>
      <c r="F7" s="246"/>
      <c r="G7" s="245"/>
      <c r="H7" s="246"/>
      <c r="I7" s="246"/>
      <c r="J7" s="246"/>
      <c r="K7" s="246"/>
      <c r="L7" s="246"/>
      <c r="M7" s="245"/>
      <c r="N7" s="246"/>
      <c r="O7" s="246"/>
      <c r="P7" s="246"/>
      <c r="Q7" s="245"/>
      <c r="R7" s="246"/>
      <c r="S7" s="245"/>
      <c r="T7" s="246"/>
      <c r="U7" s="109"/>
      <c r="V7" s="109"/>
      <c r="W7" s="246"/>
      <c r="X7" s="246"/>
      <c r="Y7" s="245"/>
      <c r="Z7" s="246"/>
      <c r="AA7" s="246"/>
      <c r="AB7" s="246"/>
      <c r="AC7" s="246"/>
      <c r="AD7" s="246"/>
      <c r="AE7" s="246"/>
      <c r="AF7" s="245"/>
      <c r="AG7" s="246"/>
      <c r="AH7" s="246"/>
      <c r="AI7" s="246"/>
      <c r="AJ7" s="246"/>
    </row>
    <row r="8" spans="1:36" ht="13.5">
      <c r="A8" s="232"/>
      <c r="B8" s="207" t="s">
        <v>123</v>
      </c>
      <c r="C8" s="246"/>
      <c r="D8" s="246"/>
      <c r="E8" s="246"/>
      <c r="F8" s="246"/>
      <c r="G8" s="207"/>
      <c r="H8" s="207"/>
      <c r="I8" s="207"/>
      <c r="J8" s="207"/>
      <c r="K8" s="207"/>
      <c r="L8" s="246"/>
      <c r="M8" s="207"/>
      <c r="N8" s="207"/>
      <c r="O8" s="207"/>
      <c r="P8" s="207"/>
      <c r="Q8" s="207"/>
      <c r="R8" s="207"/>
      <c r="S8" s="207"/>
      <c r="T8" s="207"/>
      <c r="U8" s="109"/>
      <c r="V8" s="109"/>
      <c r="W8" s="246"/>
      <c r="X8" s="246"/>
      <c r="Y8" s="207"/>
      <c r="Z8" s="207"/>
      <c r="AA8" s="207"/>
      <c r="AB8" s="207"/>
      <c r="AC8" s="207"/>
      <c r="AD8" s="246"/>
      <c r="AE8" s="246"/>
      <c r="AF8" s="207"/>
      <c r="AG8" s="207"/>
      <c r="AH8" s="207"/>
      <c r="AI8" s="207"/>
      <c r="AJ8" s="207"/>
    </row>
    <row r="9" spans="1:36" ht="13.5">
      <c r="A9" s="232"/>
      <c r="B9" s="207" t="s">
        <v>226</v>
      </c>
      <c r="C9" s="246"/>
      <c r="D9" s="246"/>
      <c r="E9" s="246"/>
      <c r="F9" s="246"/>
      <c r="G9" s="207"/>
      <c r="H9" s="207"/>
      <c r="I9" s="207"/>
      <c r="J9" s="207"/>
      <c r="K9" s="207"/>
      <c r="L9" s="246"/>
      <c r="M9" s="207"/>
      <c r="N9" s="207"/>
      <c r="O9" s="207"/>
      <c r="P9" s="207"/>
      <c r="Q9" s="207"/>
      <c r="R9" s="207"/>
      <c r="S9" s="207"/>
      <c r="T9" s="207"/>
      <c r="U9" s="109"/>
      <c r="V9" s="109"/>
      <c r="W9" s="246"/>
      <c r="X9" s="246"/>
      <c r="Y9" s="207"/>
      <c r="Z9" s="207"/>
      <c r="AA9" s="207"/>
      <c r="AB9" s="207"/>
      <c r="AC9" s="207"/>
      <c r="AD9" s="246"/>
      <c r="AE9" s="246"/>
      <c r="AF9" s="207"/>
      <c r="AG9" s="207"/>
      <c r="AH9" s="207"/>
      <c r="AI9" s="207"/>
      <c r="AJ9" s="207"/>
    </row>
    <row r="10" spans="1:36" ht="13.5">
      <c r="A10" s="232"/>
      <c r="B10" s="207" t="s">
        <v>227</v>
      </c>
      <c r="C10" s="246"/>
      <c r="D10" s="246"/>
      <c r="E10" s="246"/>
      <c r="F10" s="246"/>
      <c r="G10" s="207"/>
      <c r="H10" s="207"/>
      <c r="I10" s="207"/>
      <c r="J10" s="207"/>
      <c r="K10" s="207"/>
      <c r="L10" s="246"/>
      <c r="M10" s="207"/>
      <c r="N10" s="207"/>
      <c r="O10" s="207"/>
      <c r="P10" s="207"/>
      <c r="Q10" s="207"/>
      <c r="R10" s="207"/>
      <c r="S10" s="207"/>
      <c r="T10" s="207"/>
      <c r="U10" s="109"/>
      <c r="V10" s="109"/>
      <c r="W10" s="246"/>
      <c r="X10" s="246"/>
      <c r="Y10" s="207"/>
      <c r="Z10" s="207"/>
      <c r="AA10" s="207"/>
      <c r="AB10" s="207"/>
      <c r="AC10" s="207"/>
      <c r="AD10" s="246"/>
      <c r="AE10" s="246"/>
      <c r="AF10" s="207"/>
      <c r="AG10" s="207"/>
      <c r="AH10" s="207"/>
      <c r="AI10" s="207"/>
      <c r="AJ10" s="207"/>
    </row>
    <row r="11" spans="1:36" ht="13.5">
      <c r="A11" s="232">
        <v>1</v>
      </c>
      <c r="B11" s="104"/>
      <c r="C11" s="232"/>
      <c r="D11" s="232"/>
      <c r="E11" s="232"/>
      <c r="F11" s="232"/>
      <c r="G11" s="104"/>
      <c r="H11" s="104"/>
      <c r="I11" s="104"/>
      <c r="J11" s="104"/>
      <c r="K11" s="246">
        <f>H11+I11+J11</f>
        <v>0</v>
      </c>
      <c r="L11" s="232"/>
      <c r="M11" s="104"/>
      <c r="N11" s="232"/>
      <c r="O11" s="232"/>
      <c r="P11" s="232"/>
      <c r="Q11" s="246">
        <f>N11+O11+P11</f>
        <v>0</v>
      </c>
      <c r="R11" s="246">
        <f aca="true" t="shared" si="0" ref="R11:U13">G11-M11</f>
        <v>0</v>
      </c>
      <c r="S11" s="246">
        <f t="shared" si="0"/>
        <v>0</v>
      </c>
      <c r="T11" s="246">
        <f t="shared" si="0"/>
        <v>0</v>
      </c>
      <c r="U11" s="246">
        <f t="shared" si="0"/>
        <v>0</v>
      </c>
      <c r="V11" s="246">
        <f>S11+T11+U11</f>
        <v>0</v>
      </c>
      <c r="W11" s="232"/>
      <c r="X11" s="232"/>
      <c r="Y11" s="104"/>
      <c r="Z11" s="104"/>
      <c r="AA11" s="104"/>
      <c r="AB11" s="104"/>
      <c r="AC11" s="246">
        <f>Z11+AA11+AB11</f>
        <v>0</v>
      </c>
      <c r="AD11" s="232"/>
      <c r="AE11" s="232"/>
      <c r="AF11" s="104"/>
      <c r="AG11" s="104"/>
      <c r="AH11" s="104"/>
      <c r="AI11" s="104"/>
      <c r="AJ11" s="246">
        <f>AG11+AH11+AI11</f>
        <v>0</v>
      </c>
    </row>
    <row r="12" spans="1:36" ht="13.5">
      <c r="A12" s="232">
        <v>2</v>
      </c>
      <c r="B12" s="104"/>
      <c r="C12" s="232"/>
      <c r="D12" s="232"/>
      <c r="E12" s="232"/>
      <c r="F12" s="232"/>
      <c r="G12" s="104"/>
      <c r="H12" s="104"/>
      <c r="I12" s="104"/>
      <c r="J12" s="104"/>
      <c r="K12" s="246">
        <f>H12+I12+J12</f>
        <v>0</v>
      </c>
      <c r="L12" s="232"/>
      <c r="M12" s="104"/>
      <c r="N12" s="232"/>
      <c r="O12" s="232"/>
      <c r="P12" s="232"/>
      <c r="Q12" s="246">
        <f>N12+O12+P12</f>
        <v>0</v>
      </c>
      <c r="R12" s="246">
        <f t="shared" si="0"/>
        <v>0</v>
      </c>
      <c r="S12" s="246">
        <f t="shared" si="0"/>
        <v>0</v>
      </c>
      <c r="T12" s="246">
        <f t="shared" si="0"/>
        <v>0</v>
      </c>
      <c r="U12" s="246">
        <f t="shared" si="0"/>
        <v>0</v>
      </c>
      <c r="V12" s="246">
        <f>S12+T12+U12</f>
        <v>0</v>
      </c>
      <c r="W12" s="232"/>
      <c r="X12" s="232"/>
      <c r="Y12" s="104"/>
      <c r="Z12" s="104"/>
      <c r="AA12" s="104"/>
      <c r="AB12" s="104"/>
      <c r="AC12" s="246">
        <f>Z12+AA12+AB12</f>
        <v>0</v>
      </c>
      <c r="AD12" s="232"/>
      <c r="AE12" s="232"/>
      <c r="AF12" s="104"/>
      <c r="AG12" s="104"/>
      <c r="AH12" s="104"/>
      <c r="AI12" s="104"/>
      <c r="AJ12" s="246">
        <f>AG12+AH12+AI12</f>
        <v>0</v>
      </c>
    </row>
    <row r="13" spans="1:36" ht="13.5">
      <c r="A13" s="232">
        <v>3</v>
      </c>
      <c r="B13" s="247"/>
      <c r="C13" s="232"/>
      <c r="D13" s="232"/>
      <c r="E13" s="232"/>
      <c r="F13" s="232"/>
      <c r="G13" s="104"/>
      <c r="H13" s="104"/>
      <c r="I13" s="104"/>
      <c r="J13" s="104"/>
      <c r="K13" s="246">
        <f>H13+I13+J13</f>
        <v>0</v>
      </c>
      <c r="L13" s="232"/>
      <c r="M13" s="104"/>
      <c r="N13" s="232"/>
      <c r="O13" s="232"/>
      <c r="P13" s="232"/>
      <c r="Q13" s="246">
        <f>N13+O13+P13</f>
        <v>0</v>
      </c>
      <c r="R13" s="246">
        <f t="shared" si="0"/>
        <v>0</v>
      </c>
      <c r="S13" s="246">
        <f t="shared" si="0"/>
        <v>0</v>
      </c>
      <c r="T13" s="246">
        <f t="shared" si="0"/>
        <v>0</v>
      </c>
      <c r="U13" s="246">
        <f t="shared" si="0"/>
        <v>0</v>
      </c>
      <c r="V13" s="246">
        <f>S13+T13+U13</f>
        <v>0</v>
      </c>
      <c r="W13" s="232"/>
      <c r="X13" s="232"/>
      <c r="Y13" s="104"/>
      <c r="Z13" s="104"/>
      <c r="AA13" s="104"/>
      <c r="AB13" s="104"/>
      <c r="AC13" s="246">
        <f>Z13+AA13+AB13</f>
        <v>0</v>
      </c>
      <c r="AD13" s="232"/>
      <c r="AE13" s="232"/>
      <c r="AF13" s="104"/>
      <c r="AG13" s="104"/>
      <c r="AH13" s="104"/>
      <c r="AI13" s="104"/>
      <c r="AJ13" s="246">
        <f>AG13+AH13+AI13</f>
        <v>0</v>
      </c>
    </row>
    <row r="14" spans="1:36" s="249" customFormat="1" ht="27">
      <c r="A14" s="244"/>
      <c r="B14" s="252" t="s">
        <v>228</v>
      </c>
      <c r="C14" s="248" t="s">
        <v>1</v>
      </c>
      <c r="D14" s="248" t="s">
        <v>1</v>
      </c>
      <c r="E14" s="248" t="s">
        <v>1</v>
      </c>
      <c r="F14" s="248" t="s">
        <v>1</v>
      </c>
      <c r="G14" s="248">
        <f>SUM(G11:G13)</f>
        <v>0</v>
      </c>
      <c r="H14" s="248">
        <f aca="true" t="shared" si="1" ref="H14:P14">SUM(H11:H13)</f>
        <v>0</v>
      </c>
      <c r="I14" s="248">
        <f t="shared" si="1"/>
        <v>0</v>
      </c>
      <c r="J14" s="248">
        <f t="shared" si="1"/>
        <v>0</v>
      </c>
      <c r="K14" s="248">
        <f t="shared" si="1"/>
        <v>0</v>
      </c>
      <c r="L14" s="248" t="s">
        <v>1</v>
      </c>
      <c r="M14" s="248">
        <f t="shared" si="1"/>
        <v>0</v>
      </c>
      <c r="N14" s="248">
        <f t="shared" si="1"/>
        <v>0</v>
      </c>
      <c r="O14" s="248">
        <f t="shared" si="1"/>
        <v>0</v>
      </c>
      <c r="P14" s="248">
        <f t="shared" si="1"/>
        <v>0</v>
      </c>
      <c r="Q14" s="248">
        <f aca="true" t="shared" si="2" ref="Q14:V14">SUM(Q11:Q13)</f>
        <v>0</v>
      </c>
      <c r="R14" s="248">
        <f t="shared" si="2"/>
        <v>0</v>
      </c>
      <c r="S14" s="248">
        <f t="shared" si="2"/>
        <v>0</v>
      </c>
      <c r="T14" s="248">
        <f t="shared" si="2"/>
        <v>0</v>
      </c>
      <c r="U14" s="248">
        <f t="shared" si="2"/>
        <v>0</v>
      </c>
      <c r="V14" s="248">
        <f t="shared" si="2"/>
        <v>0</v>
      </c>
      <c r="W14" s="248" t="s">
        <v>1</v>
      </c>
      <c r="X14" s="248" t="s">
        <v>1</v>
      </c>
      <c r="Y14" s="248">
        <f>SUM(Y11:Y13)</f>
        <v>0</v>
      </c>
      <c r="Z14" s="248">
        <f>SUM(Z11:Z13)</f>
        <v>0</v>
      </c>
      <c r="AA14" s="248">
        <f>SUM(AA11:AA13)</f>
        <v>0</v>
      </c>
      <c r="AB14" s="248">
        <f>SUM(AB11:AB13)</f>
        <v>0</v>
      </c>
      <c r="AC14" s="248">
        <f>SUM(AC11:AC13)</f>
        <v>0</v>
      </c>
      <c r="AD14" s="248" t="s">
        <v>1</v>
      </c>
      <c r="AE14" s="248" t="s">
        <v>1</v>
      </c>
      <c r="AF14" s="248">
        <f>SUM(AF11:AF13)</f>
        <v>0</v>
      </c>
      <c r="AG14" s="248">
        <f>SUM(AG11:AG13)</f>
        <v>0</v>
      </c>
      <c r="AH14" s="248">
        <f>SUM(AH11:AH13)</f>
        <v>0</v>
      </c>
      <c r="AI14" s="248">
        <f>SUM(AI11:AI13)</f>
        <v>0</v>
      </c>
      <c r="AJ14" s="248">
        <f>SUM(AJ11:AJ13)</f>
        <v>0</v>
      </c>
    </row>
    <row r="15" spans="1:36" ht="13.5">
      <c r="A15" s="232"/>
      <c r="B15" s="207" t="s">
        <v>227</v>
      </c>
      <c r="C15" s="246"/>
      <c r="D15" s="246"/>
      <c r="E15" s="246"/>
      <c r="F15" s="246"/>
      <c r="G15" s="207"/>
      <c r="H15" s="207"/>
      <c r="I15" s="207"/>
      <c r="J15" s="207"/>
      <c r="K15" s="207"/>
      <c r="L15" s="246"/>
      <c r="M15" s="207"/>
      <c r="N15" s="207"/>
      <c r="O15" s="207"/>
      <c r="P15" s="207"/>
      <c r="Q15" s="207"/>
      <c r="R15" s="207"/>
      <c r="S15" s="207"/>
      <c r="T15" s="207"/>
      <c r="U15" s="109"/>
      <c r="V15" s="109"/>
      <c r="W15" s="246"/>
      <c r="X15" s="246"/>
      <c r="Y15" s="207"/>
      <c r="Z15" s="207"/>
      <c r="AA15" s="207"/>
      <c r="AB15" s="207"/>
      <c r="AC15" s="207"/>
      <c r="AD15" s="246"/>
      <c r="AE15" s="246"/>
      <c r="AF15" s="207"/>
      <c r="AG15" s="207"/>
      <c r="AH15" s="207"/>
      <c r="AI15" s="207"/>
      <c r="AJ15" s="207"/>
    </row>
    <row r="16" spans="1:36" ht="13.5">
      <c r="A16" s="232">
        <v>1</v>
      </c>
      <c r="B16" s="104"/>
      <c r="C16" s="232"/>
      <c r="D16" s="232"/>
      <c r="E16" s="232"/>
      <c r="F16" s="232"/>
      <c r="G16" s="104"/>
      <c r="H16" s="104"/>
      <c r="I16" s="104"/>
      <c r="J16" s="104"/>
      <c r="K16" s="246">
        <f>H16+I16+J16</f>
        <v>0</v>
      </c>
      <c r="L16" s="232"/>
      <c r="M16" s="104"/>
      <c r="N16" s="232"/>
      <c r="O16" s="232"/>
      <c r="P16" s="232"/>
      <c r="Q16" s="246">
        <f>N16+O16+P16</f>
        <v>0</v>
      </c>
      <c r="R16" s="246">
        <f aca="true" t="shared" si="3" ref="R16:U18">G16-M16</f>
        <v>0</v>
      </c>
      <c r="S16" s="246">
        <f t="shared" si="3"/>
        <v>0</v>
      </c>
      <c r="T16" s="246">
        <f t="shared" si="3"/>
        <v>0</v>
      </c>
      <c r="U16" s="246">
        <f t="shared" si="3"/>
        <v>0</v>
      </c>
      <c r="V16" s="246">
        <f>S16+T16+U16</f>
        <v>0</v>
      </c>
      <c r="W16" s="232"/>
      <c r="X16" s="232"/>
      <c r="Y16" s="104"/>
      <c r="Z16" s="104"/>
      <c r="AA16" s="104"/>
      <c r="AB16" s="104"/>
      <c r="AC16" s="246">
        <f>Z16+AA16+AB16</f>
        <v>0</v>
      </c>
      <c r="AD16" s="232"/>
      <c r="AE16" s="232"/>
      <c r="AF16" s="104"/>
      <c r="AG16" s="104"/>
      <c r="AH16" s="104"/>
      <c r="AI16" s="104"/>
      <c r="AJ16" s="246">
        <f>AG16+AH16+AI16</f>
        <v>0</v>
      </c>
    </row>
    <row r="17" spans="1:36" ht="13.5">
      <c r="A17" s="232">
        <v>2</v>
      </c>
      <c r="B17" s="104"/>
      <c r="C17" s="232"/>
      <c r="D17" s="232"/>
      <c r="E17" s="232"/>
      <c r="F17" s="232"/>
      <c r="G17" s="104"/>
      <c r="H17" s="104"/>
      <c r="I17" s="104"/>
      <c r="J17" s="104"/>
      <c r="K17" s="246">
        <f>H17+I17+J17</f>
        <v>0</v>
      </c>
      <c r="L17" s="232"/>
      <c r="M17" s="104"/>
      <c r="N17" s="232"/>
      <c r="O17" s="232"/>
      <c r="P17" s="232"/>
      <c r="Q17" s="246">
        <f>N17+O17+P17</f>
        <v>0</v>
      </c>
      <c r="R17" s="246">
        <f t="shared" si="3"/>
        <v>0</v>
      </c>
      <c r="S17" s="246">
        <f t="shared" si="3"/>
        <v>0</v>
      </c>
      <c r="T17" s="246">
        <f t="shared" si="3"/>
        <v>0</v>
      </c>
      <c r="U17" s="246">
        <f t="shared" si="3"/>
        <v>0</v>
      </c>
      <c r="V17" s="246">
        <f>S17+T17+U17</f>
        <v>0</v>
      </c>
      <c r="W17" s="232"/>
      <c r="X17" s="232"/>
      <c r="Y17" s="104"/>
      <c r="Z17" s="104"/>
      <c r="AA17" s="104"/>
      <c r="AB17" s="104"/>
      <c r="AC17" s="246">
        <f>Z17+AA17+AB17</f>
        <v>0</v>
      </c>
      <c r="AD17" s="232"/>
      <c r="AE17" s="232"/>
      <c r="AF17" s="104"/>
      <c r="AG17" s="104"/>
      <c r="AH17" s="104"/>
      <c r="AI17" s="104"/>
      <c r="AJ17" s="246">
        <f>AG17+AH17+AI17</f>
        <v>0</v>
      </c>
    </row>
    <row r="18" spans="1:36" ht="13.5">
      <c r="A18" s="232">
        <v>3</v>
      </c>
      <c r="B18" s="247"/>
      <c r="C18" s="232"/>
      <c r="D18" s="232"/>
      <c r="E18" s="232"/>
      <c r="F18" s="232"/>
      <c r="G18" s="104"/>
      <c r="H18" s="104"/>
      <c r="I18" s="104"/>
      <c r="J18" s="104"/>
      <c r="K18" s="246">
        <f>H18+I18+J18</f>
        <v>0</v>
      </c>
      <c r="L18" s="232"/>
      <c r="M18" s="104"/>
      <c r="N18" s="232"/>
      <c r="O18" s="232"/>
      <c r="P18" s="232"/>
      <c r="Q18" s="246">
        <f>N18+O18+P18</f>
        <v>0</v>
      </c>
      <c r="R18" s="246">
        <f t="shared" si="3"/>
        <v>0</v>
      </c>
      <c r="S18" s="246">
        <f t="shared" si="3"/>
        <v>0</v>
      </c>
      <c r="T18" s="246">
        <f t="shared" si="3"/>
        <v>0</v>
      </c>
      <c r="U18" s="246">
        <f t="shared" si="3"/>
        <v>0</v>
      </c>
      <c r="V18" s="246">
        <f>S18+T18+U18</f>
        <v>0</v>
      </c>
      <c r="W18" s="232"/>
      <c r="X18" s="232"/>
      <c r="Y18" s="104"/>
      <c r="Z18" s="104"/>
      <c r="AA18" s="104"/>
      <c r="AB18" s="104"/>
      <c r="AC18" s="246">
        <f>Z18+AA18+AB18</f>
        <v>0</v>
      </c>
      <c r="AD18" s="232"/>
      <c r="AE18" s="232"/>
      <c r="AF18" s="104"/>
      <c r="AG18" s="104"/>
      <c r="AH18" s="104"/>
      <c r="AI18" s="104"/>
      <c r="AJ18" s="246">
        <f>AG18+AH18+AI18</f>
        <v>0</v>
      </c>
    </row>
    <row r="19" spans="1:36" s="249" customFormat="1" ht="27">
      <c r="A19" s="244"/>
      <c r="B19" s="252" t="s">
        <v>228</v>
      </c>
      <c r="C19" s="248" t="s">
        <v>1</v>
      </c>
      <c r="D19" s="248" t="s">
        <v>1</v>
      </c>
      <c r="E19" s="248" t="s">
        <v>1</v>
      </c>
      <c r="F19" s="248" t="s">
        <v>1</v>
      </c>
      <c r="G19" s="248">
        <f aca="true" t="shared" si="4" ref="G19:P19">SUM(G16:G18)</f>
        <v>0</v>
      </c>
      <c r="H19" s="248">
        <f t="shared" si="4"/>
        <v>0</v>
      </c>
      <c r="I19" s="248">
        <f t="shared" si="4"/>
        <v>0</v>
      </c>
      <c r="J19" s="248">
        <f t="shared" si="4"/>
        <v>0</v>
      </c>
      <c r="K19" s="248">
        <f t="shared" si="4"/>
        <v>0</v>
      </c>
      <c r="L19" s="248" t="s">
        <v>1</v>
      </c>
      <c r="M19" s="248">
        <f t="shared" si="4"/>
        <v>0</v>
      </c>
      <c r="N19" s="248">
        <f t="shared" si="4"/>
        <v>0</v>
      </c>
      <c r="O19" s="248">
        <f t="shared" si="4"/>
        <v>0</v>
      </c>
      <c r="P19" s="248">
        <f t="shared" si="4"/>
        <v>0</v>
      </c>
      <c r="Q19" s="248">
        <f>SUM(Q16:Q18)</f>
        <v>0</v>
      </c>
      <c r="R19" s="248">
        <f>SUM(R16:R18)</f>
        <v>0</v>
      </c>
      <c r="S19" s="248">
        <f>SUM(S16:S18)</f>
        <v>0</v>
      </c>
      <c r="T19" s="248">
        <f>SUM(T16:T18)</f>
        <v>0</v>
      </c>
      <c r="U19" s="115"/>
      <c r="V19" s="115"/>
      <c r="W19" s="248" t="s">
        <v>1</v>
      </c>
      <c r="X19" s="248" t="s">
        <v>1</v>
      </c>
      <c r="Y19" s="248">
        <f>SUM(Y16:Y18)</f>
        <v>0</v>
      </c>
      <c r="Z19" s="248">
        <f>SUM(Z16:Z18)</f>
        <v>0</v>
      </c>
      <c r="AA19" s="248">
        <f>SUM(AA16:AA18)</f>
        <v>0</v>
      </c>
      <c r="AB19" s="248">
        <f>SUM(AB16:AB18)</f>
        <v>0</v>
      </c>
      <c r="AC19" s="248">
        <f>SUM(AC16:AC18)</f>
        <v>0</v>
      </c>
      <c r="AD19" s="248" t="s">
        <v>1</v>
      </c>
      <c r="AE19" s="248" t="s">
        <v>1</v>
      </c>
      <c r="AF19" s="248">
        <f>SUM(AF16:AF18)</f>
        <v>0</v>
      </c>
      <c r="AG19" s="248">
        <f>SUM(AG16:AG18)</f>
        <v>0</v>
      </c>
      <c r="AH19" s="248">
        <f>SUM(AH16:AH18)</f>
        <v>0</v>
      </c>
      <c r="AI19" s="248">
        <f>SUM(AI16:AI18)</f>
        <v>0</v>
      </c>
      <c r="AJ19" s="248">
        <f>SUM(AJ16:AJ18)</f>
        <v>0</v>
      </c>
    </row>
    <row r="20" spans="1:36" s="249" customFormat="1" ht="27">
      <c r="A20" s="244"/>
      <c r="B20" s="245" t="s">
        <v>252</v>
      </c>
      <c r="C20" s="248" t="s">
        <v>1</v>
      </c>
      <c r="D20" s="248" t="s">
        <v>1</v>
      </c>
      <c r="E20" s="248" t="s">
        <v>1</v>
      </c>
      <c r="F20" s="248" t="s">
        <v>1</v>
      </c>
      <c r="G20" s="248">
        <f>G14+G19</f>
        <v>0</v>
      </c>
      <c r="H20" s="248">
        <f>H14+H19</f>
        <v>0</v>
      </c>
      <c r="I20" s="248">
        <f>I14+I19</f>
        <v>0</v>
      </c>
      <c r="J20" s="248">
        <f>J14+J19</f>
        <v>0</v>
      </c>
      <c r="K20" s="248">
        <f>K14+K19</f>
        <v>0</v>
      </c>
      <c r="L20" s="248" t="s">
        <v>1</v>
      </c>
      <c r="M20" s="248">
        <f aca="true" t="shared" si="5" ref="M20:V20">M14+M19</f>
        <v>0</v>
      </c>
      <c r="N20" s="248">
        <f t="shared" si="5"/>
        <v>0</v>
      </c>
      <c r="O20" s="248">
        <f t="shared" si="5"/>
        <v>0</v>
      </c>
      <c r="P20" s="248">
        <f t="shared" si="5"/>
        <v>0</v>
      </c>
      <c r="Q20" s="248">
        <f t="shared" si="5"/>
        <v>0</v>
      </c>
      <c r="R20" s="248">
        <f t="shared" si="5"/>
        <v>0</v>
      </c>
      <c r="S20" s="248">
        <f t="shared" si="5"/>
        <v>0</v>
      </c>
      <c r="T20" s="248">
        <f t="shared" si="5"/>
        <v>0</v>
      </c>
      <c r="U20" s="248">
        <f t="shared" si="5"/>
        <v>0</v>
      </c>
      <c r="V20" s="248">
        <f t="shared" si="5"/>
        <v>0</v>
      </c>
      <c r="W20" s="248" t="s">
        <v>1</v>
      </c>
      <c r="X20" s="248" t="s">
        <v>1</v>
      </c>
      <c r="Y20" s="248">
        <f>Y14+Y19</f>
        <v>0</v>
      </c>
      <c r="Z20" s="248">
        <f>Z14+Z19</f>
        <v>0</v>
      </c>
      <c r="AA20" s="248">
        <f>AA14+AA19</f>
        <v>0</v>
      </c>
      <c r="AB20" s="248">
        <f>AB14+AB19</f>
        <v>0</v>
      </c>
      <c r="AC20" s="248">
        <f>AC14+AC19</f>
        <v>0</v>
      </c>
      <c r="AD20" s="248" t="s">
        <v>1</v>
      </c>
      <c r="AE20" s="248" t="s">
        <v>1</v>
      </c>
      <c r="AF20" s="248">
        <f>AF14+AF19</f>
        <v>0</v>
      </c>
      <c r="AG20" s="248">
        <f>AG14+AG19</f>
        <v>0</v>
      </c>
      <c r="AH20" s="248">
        <f>AH14+AH19</f>
        <v>0</v>
      </c>
      <c r="AI20" s="248">
        <f>AI14+AI19</f>
        <v>0</v>
      </c>
      <c r="AJ20" s="248">
        <f>AJ14+AJ19</f>
        <v>0</v>
      </c>
    </row>
    <row r="21" spans="1:36" ht="13.5">
      <c r="A21" s="232"/>
      <c r="B21" s="247"/>
      <c r="C21" s="246"/>
      <c r="D21" s="246"/>
      <c r="E21" s="246"/>
      <c r="F21" s="246"/>
      <c r="G21" s="247"/>
      <c r="H21" s="246"/>
      <c r="I21" s="246"/>
      <c r="J21" s="246"/>
      <c r="K21" s="246"/>
      <c r="L21" s="246"/>
      <c r="M21" s="247"/>
      <c r="N21" s="246"/>
      <c r="O21" s="246"/>
      <c r="P21" s="246"/>
      <c r="Q21" s="247"/>
      <c r="R21" s="246"/>
      <c r="S21" s="247"/>
      <c r="T21" s="246"/>
      <c r="U21" s="109"/>
      <c r="V21" s="109"/>
      <c r="W21" s="246"/>
      <c r="X21" s="246"/>
      <c r="Y21" s="247"/>
      <c r="Z21" s="246"/>
      <c r="AA21" s="246"/>
      <c r="AB21" s="246"/>
      <c r="AC21" s="246"/>
      <c r="AD21" s="246"/>
      <c r="AE21" s="246"/>
      <c r="AF21" s="247"/>
      <c r="AG21" s="246"/>
      <c r="AH21" s="246"/>
      <c r="AI21" s="246"/>
      <c r="AJ21" s="246"/>
    </row>
    <row r="22" spans="1:36" ht="27">
      <c r="A22" s="244" t="s">
        <v>3</v>
      </c>
      <c r="B22" s="245" t="s">
        <v>492</v>
      </c>
      <c r="C22" s="246"/>
      <c r="D22" s="246"/>
      <c r="E22" s="246"/>
      <c r="F22" s="246"/>
      <c r="G22" s="245"/>
      <c r="H22" s="246"/>
      <c r="I22" s="246"/>
      <c r="J22" s="246"/>
      <c r="K22" s="246"/>
      <c r="L22" s="246"/>
      <c r="M22" s="245"/>
      <c r="N22" s="246"/>
      <c r="O22" s="246"/>
      <c r="P22" s="246"/>
      <c r="Q22" s="245"/>
      <c r="R22" s="246"/>
      <c r="S22" s="245"/>
      <c r="T22" s="246"/>
      <c r="U22" s="109"/>
      <c r="V22" s="109"/>
      <c r="W22" s="246"/>
      <c r="X22" s="246"/>
      <c r="Y22" s="245"/>
      <c r="Z22" s="246"/>
      <c r="AA22" s="246"/>
      <c r="AB22" s="246"/>
      <c r="AC22" s="246"/>
      <c r="AD22" s="246"/>
      <c r="AE22" s="246"/>
      <c r="AF22" s="245"/>
      <c r="AG22" s="246"/>
      <c r="AH22" s="246"/>
      <c r="AI22" s="246"/>
      <c r="AJ22" s="246"/>
    </row>
    <row r="23" spans="1:36" ht="13.5">
      <c r="A23" s="232"/>
      <c r="B23" s="207" t="s">
        <v>123</v>
      </c>
      <c r="C23" s="246"/>
      <c r="D23" s="246"/>
      <c r="E23" s="246"/>
      <c r="F23" s="246"/>
      <c r="G23" s="207"/>
      <c r="H23" s="207"/>
      <c r="I23" s="207"/>
      <c r="J23" s="207"/>
      <c r="K23" s="207"/>
      <c r="L23" s="246"/>
      <c r="M23" s="207"/>
      <c r="N23" s="207"/>
      <c r="O23" s="207"/>
      <c r="P23" s="207"/>
      <c r="Q23" s="207"/>
      <c r="R23" s="207"/>
      <c r="S23" s="207"/>
      <c r="T23" s="207"/>
      <c r="U23" s="109"/>
      <c r="V23" s="109"/>
      <c r="W23" s="246"/>
      <c r="X23" s="246"/>
      <c r="Y23" s="207"/>
      <c r="Z23" s="207"/>
      <c r="AA23" s="207"/>
      <c r="AB23" s="207"/>
      <c r="AC23" s="207"/>
      <c r="AD23" s="246"/>
      <c r="AE23" s="246"/>
      <c r="AF23" s="207"/>
      <c r="AG23" s="207"/>
      <c r="AH23" s="207"/>
      <c r="AI23" s="207"/>
      <c r="AJ23" s="207"/>
    </row>
    <row r="24" spans="1:36" ht="13.5">
      <c r="A24" s="232"/>
      <c r="B24" s="207" t="s">
        <v>226</v>
      </c>
      <c r="C24" s="246"/>
      <c r="D24" s="246"/>
      <c r="E24" s="246"/>
      <c r="F24" s="246"/>
      <c r="G24" s="207"/>
      <c r="H24" s="207"/>
      <c r="I24" s="207"/>
      <c r="J24" s="207"/>
      <c r="K24" s="207"/>
      <c r="L24" s="246"/>
      <c r="M24" s="207"/>
      <c r="N24" s="207"/>
      <c r="O24" s="207"/>
      <c r="P24" s="207"/>
      <c r="Q24" s="207"/>
      <c r="R24" s="207"/>
      <c r="S24" s="207"/>
      <c r="T24" s="207"/>
      <c r="U24" s="109"/>
      <c r="V24" s="109"/>
      <c r="W24" s="246"/>
      <c r="X24" s="246"/>
      <c r="Y24" s="207"/>
      <c r="Z24" s="207"/>
      <c r="AA24" s="207"/>
      <c r="AB24" s="207"/>
      <c r="AC24" s="207"/>
      <c r="AD24" s="246"/>
      <c r="AE24" s="246"/>
      <c r="AF24" s="207"/>
      <c r="AG24" s="207"/>
      <c r="AH24" s="207"/>
      <c r="AI24" s="207"/>
      <c r="AJ24" s="207"/>
    </row>
    <row r="25" spans="1:36" ht="13.5">
      <c r="A25" s="232"/>
      <c r="B25" s="207" t="s">
        <v>227</v>
      </c>
      <c r="C25" s="246"/>
      <c r="D25" s="246"/>
      <c r="E25" s="246"/>
      <c r="F25" s="246"/>
      <c r="G25" s="207"/>
      <c r="H25" s="207"/>
      <c r="I25" s="207"/>
      <c r="J25" s="207"/>
      <c r="K25" s="207"/>
      <c r="L25" s="246"/>
      <c r="M25" s="207"/>
      <c r="N25" s="207"/>
      <c r="O25" s="207"/>
      <c r="P25" s="207"/>
      <c r="Q25" s="207"/>
      <c r="R25" s="207"/>
      <c r="S25" s="207"/>
      <c r="T25" s="207"/>
      <c r="U25" s="109"/>
      <c r="V25" s="109"/>
      <c r="W25" s="246"/>
      <c r="X25" s="246"/>
      <c r="Y25" s="207"/>
      <c r="Z25" s="207"/>
      <c r="AA25" s="207"/>
      <c r="AB25" s="207"/>
      <c r="AC25" s="207"/>
      <c r="AD25" s="246"/>
      <c r="AE25" s="246"/>
      <c r="AF25" s="207"/>
      <c r="AG25" s="207"/>
      <c r="AH25" s="207"/>
      <c r="AI25" s="207"/>
      <c r="AJ25" s="207"/>
    </row>
    <row r="26" spans="1:36" ht="13.5">
      <c r="A26" s="232">
        <v>1</v>
      </c>
      <c r="B26" s="104"/>
      <c r="C26" s="232"/>
      <c r="D26" s="232"/>
      <c r="E26" s="232"/>
      <c r="F26" s="232"/>
      <c r="G26" s="104"/>
      <c r="H26" s="104"/>
      <c r="I26" s="104"/>
      <c r="J26" s="104"/>
      <c r="K26" s="246">
        <f>H26+I26+J26</f>
        <v>0</v>
      </c>
      <c r="L26" s="232"/>
      <c r="M26" s="104"/>
      <c r="N26" s="232"/>
      <c r="O26" s="232"/>
      <c r="P26" s="232"/>
      <c r="Q26" s="246">
        <f>N26+O26+P26</f>
        <v>0</v>
      </c>
      <c r="R26" s="246">
        <f aca="true" t="shared" si="6" ref="R26:U28">G26-M26</f>
        <v>0</v>
      </c>
      <c r="S26" s="246">
        <f t="shared" si="6"/>
        <v>0</v>
      </c>
      <c r="T26" s="246">
        <f t="shared" si="6"/>
        <v>0</v>
      </c>
      <c r="U26" s="246">
        <f t="shared" si="6"/>
        <v>0</v>
      </c>
      <c r="V26" s="246">
        <f>S26+T26+U26</f>
        <v>0</v>
      </c>
      <c r="W26" s="232"/>
      <c r="X26" s="232"/>
      <c r="Y26" s="104"/>
      <c r="Z26" s="104"/>
      <c r="AA26" s="104"/>
      <c r="AB26" s="104"/>
      <c r="AC26" s="246">
        <f>Z26+AA26+AB26</f>
        <v>0</v>
      </c>
      <c r="AD26" s="232"/>
      <c r="AE26" s="232"/>
      <c r="AF26" s="104"/>
      <c r="AG26" s="104"/>
      <c r="AH26" s="104"/>
      <c r="AI26" s="104"/>
      <c r="AJ26" s="246">
        <f>AG26+AH26+AI26</f>
        <v>0</v>
      </c>
    </row>
    <row r="27" spans="1:36" ht="13.5">
      <c r="A27" s="232">
        <v>2</v>
      </c>
      <c r="B27" s="104"/>
      <c r="C27" s="232"/>
      <c r="D27" s="232"/>
      <c r="E27" s="232"/>
      <c r="F27" s="232"/>
      <c r="G27" s="104"/>
      <c r="H27" s="104"/>
      <c r="I27" s="104"/>
      <c r="J27" s="104"/>
      <c r="K27" s="246">
        <f>H27+I27+J27</f>
        <v>0</v>
      </c>
      <c r="L27" s="232"/>
      <c r="M27" s="104"/>
      <c r="N27" s="232"/>
      <c r="O27" s="232"/>
      <c r="P27" s="232"/>
      <c r="Q27" s="246">
        <f>N27+O27+P27</f>
        <v>0</v>
      </c>
      <c r="R27" s="246">
        <f t="shared" si="6"/>
        <v>0</v>
      </c>
      <c r="S27" s="246">
        <f t="shared" si="6"/>
        <v>0</v>
      </c>
      <c r="T27" s="246">
        <f t="shared" si="6"/>
        <v>0</v>
      </c>
      <c r="U27" s="246">
        <f t="shared" si="6"/>
        <v>0</v>
      </c>
      <c r="V27" s="246">
        <f>S27+T27+U27</f>
        <v>0</v>
      </c>
      <c r="W27" s="232"/>
      <c r="X27" s="232"/>
      <c r="Y27" s="104"/>
      <c r="Z27" s="104"/>
      <c r="AA27" s="104"/>
      <c r="AB27" s="104"/>
      <c r="AC27" s="246">
        <f>Z27+AA27+AB27</f>
        <v>0</v>
      </c>
      <c r="AD27" s="232"/>
      <c r="AE27" s="232"/>
      <c r="AF27" s="104"/>
      <c r="AG27" s="104"/>
      <c r="AH27" s="104"/>
      <c r="AI27" s="104"/>
      <c r="AJ27" s="246">
        <f>AG27+AH27+AI27</f>
        <v>0</v>
      </c>
    </row>
    <row r="28" spans="1:36" ht="13.5">
      <c r="A28" s="232">
        <v>3</v>
      </c>
      <c r="B28" s="247"/>
      <c r="C28" s="232"/>
      <c r="D28" s="232"/>
      <c r="E28" s="232"/>
      <c r="F28" s="232"/>
      <c r="G28" s="104"/>
      <c r="H28" s="104"/>
      <c r="I28" s="104"/>
      <c r="J28" s="104"/>
      <c r="K28" s="246">
        <f>H28+I28+J28</f>
        <v>0</v>
      </c>
      <c r="L28" s="232"/>
      <c r="M28" s="104"/>
      <c r="N28" s="232"/>
      <c r="O28" s="232"/>
      <c r="P28" s="232"/>
      <c r="Q28" s="246">
        <f>N28+O28+P28</f>
        <v>0</v>
      </c>
      <c r="R28" s="246">
        <f t="shared" si="6"/>
        <v>0</v>
      </c>
      <c r="S28" s="246">
        <f t="shared" si="6"/>
        <v>0</v>
      </c>
      <c r="T28" s="246">
        <f t="shared" si="6"/>
        <v>0</v>
      </c>
      <c r="U28" s="246">
        <f t="shared" si="6"/>
        <v>0</v>
      </c>
      <c r="V28" s="246">
        <f>S28+T28+U28</f>
        <v>0</v>
      </c>
      <c r="W28" s="232"/>
      <c r="X28" s="232"/>
      <c r="Y28" s="104"/>
      <c r="Z28" s="104"/>
      <c r="AA28" s="104"/>
      <c r="AB28" s="104"/>
      <c r="AC28" s="246">
        <f>Z28+AA28+AB28</f>
        <v>0</v>
      </c>
      <c r="AD28" s="232"/>
      <c r="AE28" s="232"/>
      <c r="AF28" s="104"/>
      <c r="AG28" s="104"/>
      <c r="AH28" s="104"/>
      <c r="AI28" s="104"/>
      <c r="AJ28" s="246">
        <f>AG28+AH28+AI28</f>
        <v>0</v>
      </c>
    </row>
    <row r="29" spans="1:36" s="249" customFormat="1" ht="27">
      <c r="A29" s="244"/>
      <c r="B29" s="252" t="s">
        <v>228</v>
      </c>
      <c r="C29" s="248" t="s">
        <v>1</v>
      </c>
      <c r="D29" s="248" t="s">
        <v>1</v>
      </c>
      <c r="E29" s="248" t="s">
        <v>1</v>
      </c>
      <c r="F29" s="248" t="s">
        <v>1</v>
      </c>
      <c r="G29" s="248">
        <f>SUM(G26:G28)</f>
        <v>0</v>
      </c>
      <c r="H29" s="248">
        <f>SUM(H26:H28)</f>
        <v>0</v>
      </c>
      <c r="I29" s="248">
        <f>SUM(I26:I28)</f>
        <v>0</v>
      </c>
      <c r="J29" s="248">
        <f>SUM(J26:J28)</f>
        <v>0</v>
      </c>
      <c r="K29" s="248">
        <f>SUM(K26:K28)</f>
        <v>0</v>
      </c>
      <c r="L29" s="248" t="s">
        <v>1</v>
      </c>
      <c r="M29" s="248">
        <f aca="true" t="shared" si="7" ref="M29:V29">SUM(M26:M28)</f>
        <v>0</v>
      </c>
      <c r="N29" s="248">
        <f t="shared" si="7"/>
        <v>0</v>
      </c>
      <c r="O29" s="248">
        <f t="shared" si="7"/>
        <v>0</v>
      </c>
      <c r="P29" s="248">
        <f t="shared" si="7"/>
        <v>0</v>
      </c>
      <c r="Q29" s="248">
        <f t="shared" si="7"/>
        <v>0</v>
      </c>
      <c r="R29" s="248">
        <f t="shared" si="7"/>
        <v>0</v>
      </c>
      <c r="S29" s="248">
        <f t="shared" si="7"/>
        <v>0</v>
      </c>
      <c r="T29" s="248">
        <f t="shared" si="7"/>
        <v>0</v>
      </c>
      <c r="U29" s="248">
        <f t="shared" si="7"/>
        <v>0</v>
      </c>
      <c r="V29" s="248">
        <f t="shared" si="7"/>
        <v>0</v>
      </c>
      <c r="W29" s="248" t="s">
        <v>1</v>
      </c>
      <c r="X29" s="248" t="s">
        <v>1</v>
      </c>
      <c r="Y29" s="248">
        <f>SUM(Y26:Y28)</f>
        <v>0</v>
      </c>
      <c r="Z29" s="248">
        <f>SUM(Z26:Z28)</f>
        <v>0</v>
      </c>
      <c r="AA29" s="248">
        <f>SUM(AA26:AA28)</f>
        <v>0</v>
      </c>
      <c r="AB29" s="248">
        <f>SUM(AB26:AB28)</f>
        <v>0</v>
      </c>
      <c r="AC29" s="248">
        <f>SUM(AC26:AC28)</f>
        <v>0</v>
      </c>
      <c r="AD29" s="248" t="s">
        <v>1</v>
      </c>
      <c r="AE29" s="248" t="s">
        <v>1</v>
      </c>
      <c r="AF29" s="248">
        <f>SUM(AF26:AF28)</f>
        <v>0</v>
      </c>
      <c r="AG29" s="248">
        <f>SUM(AG26:AG28)</f>
        <v>0</v>
      </c>
      <c r="AH29" s="248">
        <f>SUM(AH26:AH28)</f>
        <v>0</v>
      </c>
      <c r="AI29" s="248">
        <f>SUM(AI26:AI28)</f>
        <v>0</v>
      </c>
      <c r="AJ29" s="248">
        <f>SUM(AJ26:AJ28)</f>
        <v>0</v>
      </c>
    </row>
    <row r="30" spans="1:36" ht="13.5">
      <c r="A30" s="232"/>
      <c r="B30" s="207" t="s">
        <v>227</v>
      </c>
      <c r="C30" s="246"/>
      <c r="D30" s="246"/>
      <c r="E30" s="246"/>
      <c r="F30" s="246"/>
      <c r="G30" s="207"/>
      <c r="H30" s="207"/>
      <c r="I30" s="207"/>
      <c r="J30" s="207"/>
      <c r="K30" s="207"/>
      <c r="L30" s="246"/>
      <c r="M30" s="207"/>
      <c r="N30" s="207"/>
      <c r="O30" s="207"/>
      <c r="P30" s="207"/>
      <c r="Q30" s="207"/>
      <c r="R30" s="207"/>
      <c r="S30" s="207"/>
      <c r="T30" s="207"/>
      <c r="U30" s="109"/>
      <c r="V30" s="109"/>
      <c r="W30" s="246"/>
      <c r="X30" s="246"/>
      <c r="Y30" s="207"/>
      <c r="Z30" s="207"/>
      <c r="AA30" s="207"/>
      <c r="AB30" s="207"/>
      <c r="AC30" s="207"/>
      <c r="AD30" s="246"/>
      <c r="AE30" s="246"/>
      <c r="AF30" s="207"/>
      <c r="AG30" s="207"/>
      <c r="AH30" s="207"/>
      <c r="AI30" s="207"/>
      <c r="AJ30" s="207"/>
    </row>
    <row r="31" spans="1:36" ht="13.5">
      <c r="A31" s="232">
        <v>1</v>
      </c>
      <c r="B31" s="104"/>
      <c r="C31" s="232"/>
      <c r="D31" s="232"/>
      <c r="E31" s="232"/>
      <c r="F31" s="232"/>
      <c r="G31" s="104"/>
      <c r="H31" s="104"/>
      <c r="I31" s="104"/>
      <c r="J31" s="104"/>
      <c r="K31" s="246">
        <f>H31+I31+J31</f>
        <v>0</v>
      </c>
      <c r="L31" s="232"/>
      <c r="M31" s="104"/>
      <c r="N31" s="232"/>
      <c r="O31" s="232"/>
      <c r="P31" s="232"/>
      <c r="Q31" s="246">
        <f>N31+O31+P31</f>
        <v>0</v>
      </c>
      <c r="R31" s="246">
        <f aca="true" t="shared" si="8" ref="R31:U33">G31-M31</f>
        <v>0</v>
      </c>
      <c r="S31" s="246">
        <f t="shared" si="8"/>
        <v>0</v>
      </c>
      <c r="T31" s="246">
        <f t="shared" si="8"/>
        <v>0</v>
      </c>
      <c r="U31" s="246">
        <f t="shared" si="8"/>
        <v>0</v>
      </c>
      <c r="V31" s="246">
        <f>S31+T31+U31</f>
        <v>0</v>
      </c>
      <c r="W31" s="232"/>
      <c r="X31" s="232"/>
      <c r="Y31" s="104"/>
      <c r="Z31" s="104"/>
      <c r="AA31" s="104"/>
      <c r="AB31" s="104"/>
      <c r="AC31" s="246">
        <f>Z31+AA31+AB31</f>
        <v>0</v>
      </c>
      <c r="AD31" s="232"/>
      <c r="AE31" s="232"/>
      <c r="AF31" s="104"/>
      <c r="AG31" s="104"/>
      <c r="AH31" s="104"/>
      <c r="AI31" s="104"/>
      <c r="AJ31" s="246">
        <f>AG31+AH31+AI31</f>
        <v>0</v>
      </c>
    </row>
    <row r="32" spans="1:36" ht="13.5">
      <c r="A32" s="232">
        <v>2</v>
      </c>
      <c r="B32" s="104"/>
      <c r="C32" s="232"/>
      <c r="D32" s="232"/>
      <c r="E32" s="232"/>
      <c r="F32" s="232"/>
      <c r="G32" s="104"/>
      <c r="H32" s="104"/>
      <c r="I32" s="104"/>
      <c r="J32" s="104"/>
      <c r="K32" s="246">
        <f>H32+I32+J32</f>
        <v>0</v>
      </c>
      <c r="L32" s="232"/>
      <c r="M32" s="104"/>
      <c r="N32" s="232"/>
      <c r="O32" s="232"/>
      <c r="P32" s="232"/>
      <c r="Q32" s="246">
        <f>N32+O32+P32</f>
        <v>0</v>
      </c>
      <c r="R32" s="246">
        <f t="shared" si="8"/>
        <v>0</v>
      </c>
      <c r="S32" s="246">
        <f t="shared" si="8"/>
        <v>0</v>
      </c>
      <c r="T32" s="246">
        <f t="shared" si="8"/>
        <v>0</v>
      </c>
      <c r="U32" s="246">
        <f t="shared" si="8"/>
        <v>0</v>
      </c>
      <c r="V32" s="246">
        <f>S32+T32+U32</f>
        <v>0</v>
      </c>
      <c r="W32" s="232"/>
      <c r="X32" s="232"/>
      <c r="Y32" s="104"/>
      <c r="Z32" s="104"/>
      <c r="AA32" s="104"/>
      <c r="AB32" s="104"/>
      <c r="AC32" s="246">
        <f>Z32+AA32+AB32</f>
        <v>0</v>
      </c>
      <c r="AD32" s="232"/>
      <c r="AE32" s="232"/>
      <c r="AF32" s="104"/>
      <c r="AG32" s="104"/>
      <c r="AH32" s="104"/>
      <c r="AI32" s="104"/>
      <c r="AJ32" s="246">
        <f>AG32+AH32+AI32</f>
        <v>0</v>
      </c>
    </row>
    <row r="33" spans="1:36" ht="13.5">
      <c r="A33" s="232">
        <v>3</v>
      </c>
      <c r="B33" s="247"/>
      <c r="C33" s="232"/>
      <c r="D33" s="232"/>
      <c r="E33" s="232"/>
      <c r="F33" s="232"/>
      <c r="G33" s="104"/>
      <c r="H33" s="104"/>
      <c r="I33" s="104"/>
      <c r="J33" s="104"/>
      <c r="K33" s="246">
        <f>H33+I33+J33</f>
        <v>0</v>
      </c>
      <c r="L33" s="232"/>
      <c r="M33" s="104"/>
      <c r="N33" s="232"/>
      <c r="O33" s="232"/>
      <c r="P33" s="232"/>
      <c r="Q33" s="246">
        <f>N33+O33+P33</f>
        <v>0</v>
      </c>
      <c r="R33" s="246">
        <f t="shared" si="8"/>
        <v>0</v>
      </c>
      <c r="S33" s="246">
        <f t="shared" si="8"/>
        <v>0</v>
      </c>
      <c r="T33" s="246">
        <f t="shared" si="8"/>
        <v>0</v>
      </c>
      <c r="U33" s="246">
        <f t="shared" si="8"/>
        <v>0</v>
      </c>
      <c r="V33" s="246">
        <f>S33+T33+U33</f>
        <v>0</v>
      </c>
      <c r="W33" s="232"/>
      <c r="X33" s="232"/>
      <c r="Y33" s="104"/>
      <c r="Z33" s="104"/>
      <c r="AA33" s="104"/>
      <c r="AB33" s="104"/>
      <c r="AC33" s="246">
        <f>Z33+AA33+AB33</f>
        <v>0</v>
      </c>
      <c r="AD33" s="232"/>
      <c r="AE33" s="232"/>
      <c r="AF33" s="104"/>
      <c r="AG33" s="104"/>
      <c r="AH33" s="104"/>
      <c r="AI33" s="104"/>
      <c r="AJ33" s="246">
        <f>AG33+AH33+AI33</f>
        <v>0</v>
      </c>
    </row>
    <row r="34" spans="1:36" s="249" customFormat="1" ht="27">
      <c r="A34" s="244"/>
      <c r="B34" s="252" t="s">
        <v>228</v>
      </c>
      <c r="C34" s="248" t="s">
        <v>1</v>
      </c>
      <c r="D34" s="248" t="s">
        <v>1</v>
      </c>
      <c r="E34" s="248" t="s">
        <v>1</v>
      </c>
      <c r="F34" s="248" t="s">
        <v>1</v>
      </c>
      <c r="G34" s="248">
        <f>SUM(G31:G33)</f>
        <v>0</v>
      </c>
      <c r="H34" s="248">
        <f>SUM(H31:H33)</f>
        <v>0</v>
      </c>
      <c r="I34" s="248">
        <f>SUM(I31:I33)</f>
        <v>0</v>
      </c>
      <c r="J34" s="248">
        <f>SUM(J31:J33)</f>
        <v>0</v>
      </c>
      <c r="K34" s="248">
        <f>SUM(K31:K33)</f>
        <v>0</v>
      </c>
      <c r="L34" s="248" t="s">
        <v>1</v>
      </c>
      <c r="M34" s="248">
        <f aca="true" t="shared" si="9" ref="M34:T34">SUM(M31:M33)</f>
        <v>0</v>
      </c>
      <c r="N34" s="248">
        <f t="shared" si="9"/>
        <v>0</v>
      </c>
      <c r="O34" s="248">
        <f t="shared" si="9"/>
        <v>0</v>
      </c>
      <c r="P34" s="248">
        <f t="shared" si="9"/>
        <v>0</v>
      </c>
      <c r="Q34" s="248">
        <f t="shared" si="9"/>
        <v>0</v>
      </c>
      <c r="R34" s="248">
        <f t="shared" si="9"/>
        <v>0</v>
      </c>
      <c r="S34" s="248">
        <f t="shared" si="9"/>
        <v>0</v>
      </c>
      <c r="T34" s="248">
        <f t="shared" si="9"/>
        <v>0</v>
      </c>
      <c r="U34" s="115"/>
      <c r="V34" s="115"/>
      <c r="W34" s="248" t="s">
        <v>1</v>
      </c>
      <c r="X34" s="248" t="s">
        <v>1</v>
      </c>
      <c r="Y34" s="248">
        <f>SUM(Y31:Y33)</f>
        <v>0</v>
      </c>
      <c r="Z34" s="248">
        <f>SUM(Z31:Z33)</f>
        <v>0</v>
      </c>
      <c r="AA34" s="248">
        <f>SUM(AA31:AA33)</f>
        <v>0</v>
      </c>
      <c r="AB34" s="248">
        <f>SUM(AB31:AB33)</f>
        <v>0</v>
      </c>
      <c r="AC34" s="248">
        <f>SUM(AC31:AC33)</f>
        <v>0</v>
      </c>
      <c r="AD34" s="248" t="s">
        <v>1</v>
      </c>
      <c r="AE34" s="248" t="s">
        <v>1</v>
      </c>
      <c r="AF34" s="248">
        <f>SUM(AF31:AF33)</f>
        <v>0</v>
      </c>
      <c r="AG34" s="248">
        <f>SUM(AG31:AG33)</f>
        <v>0</v>
      </c>
      <c r="AH34" s="248">
        <f>SUM(AH31:AH33)</f>
        <v>0</v>
      </c>
      <c r="AI34" s="248">
        <f>SUM(AI31:AI33)</f>
        <v>0</v>
      </c>
      <c r="AJ34" s="248">
        <f>SUM(AJ31:AJ33)</f>
        <v>0</v>
      </c>
    </row>
    <row r="35" spans="1:36" s="249" customFormat="1" ht="27">
      <c r="A35" s="244"/>
      <c r="B35" s="252" t="s">
        <v>232</v>
      </c>
      <c r="C35" s="248" t="s">
        <v>1</v>
      </c>
      <c r="D35" s="248" t="s">
        <v>1</v>
      </c>
      <c r="E35" s="248" t="s">
        <v>1</v>
      </c>
      <c r="F35" s="248" t="s">
        <v>1</v>
      </c>
      <c r="G35" s="248">
        <f>G29+G34</f>
        <v>0</v>
      </c>
      <c r="H35" s="248">
        <f>H29+H34</f>
        <v>0</v>
      </c>
      <c r="I35" s="248">
        <f>I29+I34</f>
        <v>0</v>
      </c>
      <c r="J35" s="248">
        <f>J29+J34</f>
        <v>0</v>
      </c>
      <c r="K35" s="248">
        <f>K29+K34</f>
        <v>0</v>
      </c>
      <c r="L35" s="248" t="s">
        <v>1</v>
      </c>
      <c r="M35" s="248">
        <f aca="true" t="shared" si="10" ref="M35:V35">M29+M34</f>
        <v>0</v>
      </c>
      <c r="N35" s="248">
        <f t="shared" si="10"/>
        <v>0</v>
      </c>
      <c r="O35" s="248">
        <f t="shared" si="10"/>
        <v>0</v>
      </c>
      <c r="P35" s="248">
        <f t="shared" si="10"/>
        <v>0</v>
      </c>
      <c r="Q35" s="248">
        <f t="shared" si="10"/>
        <v>0</v>
      </c>
      <c r="R35" s="248">
        <f t="shared" si="10"/>
        <v>0</v>
      </c>
      <c r="S35" s="248">
        <f t="shared" si="10"/>
        <v>0</v>
      </c>
      <c r="T35" s="248">
        <f t="shared" si="10"/>
        <v>0</v>
      </c>
      <c r="U35" s="248">
        <f t="shared" si="10"/>
        <v>0</v>
      </c>
      <c r="V35" s="248">
        <f t="shared" si="10"/>
        <v>0</v>
      </c>
      <c r="W35" s="248" t="s">
        <v>1</v>
      </c>
      <c r="X35" s="248" t="s">
        <v>1</v>
      </c>
      <c r="Y35" s="248">
        <f>Y29+Y34</f>
        <v>0</v>
      </c>
      <c r="Z35" s="248">
        <f>Z29+Z34</f>
        <v>0</v>
      </c>
      <c r="AA35" s="248">
        <f>AA29+AA34</f>
        <v>0</v>
      </c>
      <c r="AB35" s="248">
        <f>AB29+AB34</f>
        <v>0</v>
      </c>
      <c r="AC35" s="248">
        <f>AC29+AC34</f>
        <v>0</v>
      </c>
      <c r="AD35" s="248" t="s">
        <v>1</v>
      </c>
      <c r="AE35" s="248" t="s">
        <v>1</v>
      </c>
      <c r="AF35" s="248">
        <f>AF29+AF34</f>
        <v>0</v>
      </c>
      <c r="AG35" s="248">
        <f>AG29+AG34</f>
        <v>0</v>
      </c>
      <c r="AH35" s="248">
        <f>AH29+AH34</f>
        <v>0</v>
      </c>
      <c r="AI35" s="248">
        <f>AI29+AI34</f>
        <v>0</v>
      </c>
      <c r="AJ35" s="248">
        <f>AJ29+AJ34</f>
        <v>0</v>
      </c>
    </row>
    <row r="36" spans="1:36" ht="13.5">
      <c r="A36" s="232"/>
      <c r="B36" s="104"/>
      <c r="C36" s="246"/>
      <c r="D36" s="246"/>
      <c r="E36" s="246"/>
      <c r="F36" s="246"/>
      <c r="G36" s="104"/>
      <c r="H36" s="246"/>
      <c r="I36" s="246"/>
      <c r="J36" s="246"/>
      <c r="K36" s="246"/>
      <c r="L36" s="246"/>
      <c r="M36" s="104"/>
      <c r="N36" s="246"/>
      <c r="O36" s="246"/>
      <c r="P36" s="246"/>
      <c r="Q36" s="104"/>
      <c r="R36" s="246"/>
      <c r="S36" s="104"/>
      <c r="T36" s="246"/>
      <c r="U36" s="109"/>
      <c r="V36" s="109"/>
      <c r="W36" s="246"/>
      <c r="X36" s="246"/>
      <c r="Y36" s="104"/>
      <c r="Z36" s="246"/>
      <c r="AA36" s="246"/>
      <c r="AB36" s="246"/>
      <c r="AC36" s="246"/>
      <c r="AD36" s="246"/>
      <c r="AE36" s="246"/>
      <c r="AF36" s="104"/>
      <c r="AG36" s="246"/>
      <c r="AH36" s="246"/>
      <c r="AI36" s="246"/>
      <c r="AJ36" s="246"/>
    </row>
    <row r="37" spans="1:36" ht="54">
      <c r="A37" s="244" t="s">
        <v>4</v>
      </c>
      <c r="B37" s="245" t="s">
        <v>421</v>
      </c>
      <c r="C37" s="246"/>
      <c r="D37" s="246"/>
      <c r="E37" s="246"/>
      <c r="F37" s="246"/>
      <c r="G37" s="245"/>
      <c r="H37" s="246"/>
      <c r="I37" s="246"/>
      <c r="J37" s="246"/>
      <c r="K37" s="246"/>
      <c r="L37" s="246"/>
      <c r="M37" s="245"/>
      <c r="N37" s="246"/>
      <c r="O37" s="246"/>
      <c r="P37" s="246"/>
      <c r="Q37" s="245"/>
      <c r="R37" s="246"/>
      <c r="S37" s="245"/>
      <c r="T37" s="246"/>
      <c r="U37" s="109"/>
      <c r="V37" s="109"/>
      <c r="W37" s="246"/>
      <c r="X37" s="246"/>
      <c r="Y37" s="245"/>
      <c r="Z37" s="246"/>
      <c r="AA37" s="246"/>
      <c r="AB37" s="246"/>
      <c r="AC37" s="246"/>
      <c r="AD37" s="246"/>
      <c r="AE37" s="246"/>
      <c r="AF37" s="245"/>
      <c r="AG37" s="246"/>
      <c r="AH37" s="246"/>
      <c r="AI37" s="246"/>
      <c r="AJ37" s="246"/>
    </row>
    <row r="38" spans="1:36" ht="13.5">
      <c r="A38" s="232"/>
      <c r="B38" s="207" t="s">
        <v>123</v>
      </c>
      <c r="C38" s="246"/>
      <c r="D38" s="246"/>
      <c r="E38" s="246"/>
      <c r="F38" s="246"/>
      <c r="G38" s="207"/>
      <c r="H38" s="246"/>
      <c r="I38" s="246"/>
      <c r="J38" s="246"/>
      <c r="K38" s="246"/>
      <c r="L38" s="246"/>
      <c r="M38" s="207"/>
      <c r="N38" s="246"/>
      <c r="O38" s="246"/>
      <c r="P38" s="246"/>
      <c r="Q38" s="207"/>
      <c r="R38" s="246"/>
      <c r="S38" s="207"/>
      <c r="T38" s="246"/>
      <c r="U38" s="109"/>
      <c r="V38" s="109"/>
      <c r="W38" s="246"/>
      <c r="X38" s="246"/>
      <c r="Y38" s="207"/>
      <c r="Z38" s="246"/>
      <c r="AA38" s="246"/>
      <c r="AB38" s="246"/>
      <c r="AC38" s="246"/>
      <c r="AD38" s="246"/>
      <c r="AE38" s="246"/>
      <c r="AF38" s="207"/>
      <c r="AG38" s="246"/>
      <c r="AH38" s="246"/>
      <c r="AI38" s="246"/>
      <c r="AJ38" s="246"/>
    </row>
    <row r="39" spans="1:36" ht="13.5">
      <c r="A39" s="232">
        <v>1</v>
      </c>
      <c r="B39" s="104"/>
      <c r="C39" s="246"/>
      <c r="D39" s="246" t="s">
        <v>1</v>
      </c>
      <c r="E39" s="246" t="s">
        <v>1</v>
      </c>
      <c r="F39" s="246"/>
      <c r="G39" s="104"/>
      <c r="H39" s="232"/>
      <c r="I39" s="232"/>
      <c r="J39" s="232"/>
      <c r="K39" s="246">
        <f>H39+I39+J39</f>
        <v>0</v>
      </c>
      <c r="L39" s="246"/>
      <c r="M39" s="104"/>
      <c r="N39" s="232"/>
      <c r="O39" s="232"/>
      <c r="P39" s="232"/>
      <c r="Q39" s="246">
        <f>N39+O39+P39</f>
        <v>0</v>
      </c>
      <c r="R39" s="246">
        <f aca="true" t="shared" si="11" ref="R39:U41">G39-M39</f>
        <v>0</v>
      </c>
      <c r="S39" s="246">
        <f t="shared" si="11"/>
        <v>0</v>
      </c>
      <c r="T39" s="246">
        <f t="shared" si="11"/>
        <v>0</v>
      </c>
      <c r="U39" s="246">
        <f t="shared" si="11"/>
        <v>0</v>
      </c>
      <c r="V39" s="246">
        <f>S39+T39+U39</f>
        <v>0</v>
      </c>
      <c r="W39" s="246" t="s">
        <v>1</v>
      </c>
      <c r="X39" s="246"/>
      <c r="Y39" s="104"/>
      <c r="Z39" s="232"/>
      <c r="AA39" s="232"/>
      <c r="AB39" s="232"/>
      <c r="AC39" s="246">
        <f>Z39+AA39+AB39</f>
        <v>0</v>
      </c>
      <c r="AD39" s="246" t="s">
        <v>1</v>
      </c>
      <c r="AE39" s="246"/>
      <c r="AF39" s="104"/>
      <c r="AG39" s="232"/>
      <c r="AH39" s="232"/>
      <c r="AI39" s="232"/>
      <c r="AJ39" s="246">
        <f>AG39+AH39+AI39</f>
        <v>0</v>
      </c>
    </row>
    <row r="40" spans="1:36" ht="13.5">
      <c r="A40" s="232">
        <v>2</v>
      </c>
      <c r="B40" s="104"/>
      <c r="C40" s="246"/>
      <c r="D40" s="246" t="s">
        <v>1</v>
      </c>
      <c r="E40" s="246" t="s">
        <v>1</v>
      </c>
      <c r="F40" s="246"/>
      <c r="G40" s="104"/>
      <c r="H40" s="232"/>
      <c r="I40" s="232"/>
      <c r="J40" s="232"/>
      <c r="K40" s="246">
        <f>H40+I40+J40</f>
        <v>0</v>
      </c>
      <c r="L40" s="246"/>
      <c r="M40" s="104"/>
      <c r="N40" s="232"/>
      <c r="O40" s="232"/>
      <c r="P40" s="232"/>
      <c r="Q40" s="246">
        <f>N40+O40+P40</f>
        <v>0</v>
      </c>
      <c r="R40" s="246">
        <f t="shared" si="11"/>
        <v>0</v>
      </c>
      <c r="S40" s="246">
        <f t="shared" si="11"/>
        <v>0</v>
      </c>
      <c r="T40" s="246">
        <f t="shared" si="11"/>
        <v>0</v>
      </c>
      <c r="U40" s="246">
        <f t="shared" si="11"/>
        <v>0</v>
      </c>
      <c r="V40" s="246">
        <f>S40+T40+U40</f>
        <v>0</v>
      </c>
      <c r="W40" s="246" t="s">
        <v>1</v>
      </c>
      <c r="X40" s="246"/>
      <c r="Y40" s="104"/>
      <c r="Z40" s="232"/>
      <c r="AA40" s="232"/>
      <c r="AB40" s="232"/>
      <c r="AC40" s="246">
        <f>Z40+AA40+AB40</f>
        <v>0</v>
      </c>
      <c r="AD40" s="246" t="s">
        <v>1</v>
      </c>
      <c r="AE40" s="246"/>
      <c r="AF40" s="104"/>
      <c r="AG40" s="232"/>
      <c r="AH40" s="232"/>
      <c r="AI40" s="232"/>
      <c r="AJ40" s="246">
        <f>AG40+AH40+AI40</f>
        <v>0</v>
      </c>
    </row>
    <row r="41" spans="1:36" ht="13.5">
      <c r="A41" s="232">
        <v>3</v>
      </c>
      <c r="B41" s="104"/>
      <c r="C41" s="246"/>
      <c r="D41" s="246" t="s">
        <v>1</v>
      </c>
      <c r="E41" s="246" t="s">
        <v>1</v>
      </c>
      <c r="F41" s="246"/>
      <c r="G41" s="104"/>
      <c r="H41" s="232"/>
      <c r="I41" s="232"/>
      <c r="J41" s="232"/>
      <c r="K41" s="246">
        <f>H41+I41+J41</f>
        <v>0</v>
      </c>
      <c r="L41" s="246"/>
      <c r="M41" s="104"/>
      <c r="N41" s="232"/>
      <c r="O41" s="232"/>
      <c r="P41" s="232"/>
      <c r="Q41" s="246">
        <f>N41+O41+P41</f>
        <v>0</v>
      </c>
      <c r="R41" s="246">
        <f t="shared" si="11"/>
        <v>0</v>
      </c>
      <c r="S41" s="246">
        <f t="shared" si="11"/>
        <v>0</v>
      </c>
      <c r="T41" s="246">
        <f t="shared" si="11"/>
        <v>0</v>
      </c>
      <c r="U41" s="246">
        <f t="shared" si="11"/>
        <v>0</v>
      </c>
      <c r="V41" s="246">
        <f>S41+T41+U41</f>
        <v>0</v>
      </c>
      <c r="W41" s="246" t="s">
        <v>1</v>
      </c>
      <c r="X41" s="246"/>
      <c r="Y41" s="104"/>
      <c r="Z41" s="232"/>
      <c r="AA41" s="232"/>
      <c r="AB41" s="232"/>
      <c r="AC41" s="246">
        <f>Z41+AA41+AB41</f>
        <v>0</v>
      </c>
      <c r="AD41" s="246" t="s">
        <v>1</v>
      </c>
      <c r="AE41" s="246"/>
      <c r="AF41" s="104"/>
      <c r="AG41" s="232"/>
      <c r="AH41" s="232"/>
      <c r="AI41" s="232"/>
      <c r="AJ41" s="246">
        <f>AG41+AH41+AI41</f>
        <v>0</v>
      </c>
    </row>
    <row r="42" spans="1:36" s="249" customFormat="1" ht="27">
      <c r="A42" s="244"/>
      <c r="B42" s="252" t="s">
        <v>228</v>
      </c>
      <c r="C42" s="248" t="s">
        <v>1</v>
      </c>
      <c r="D42" s="248" t="s">
        <v>1</v>
      </c>
      <c r="E42" s="248" t="s">
        <v>1</v>
      </c>
      <c r="F42" s="248" t="s">
        <v>1</v>
      </c>
      <c r="G42" s="248">
        <f>SUM(G39:G41)</f>
        <v>0</v>
      </c>
      <c r="H42" s="248">
        <f>SUM(H39:H41)</f>
        <v>0</v>
      </c>
      <c r="I42" s="248">
        <f>SUM(I39:I41)</f>
        <v>0</v>
      </c>
      <c r="J42" s="248">
        <f>SUM(J39:J41)</f>
        <v>0</v>
      </c>
      <c r="K42" s="248">
        <f>SUM(K39:K41)</f>
        <v>0</v>
      </c>
      <c r="L42" s="248" t="s">
        <v>1</v>
      </c>
      <c r="M42" s="248">
        <f aca="true" t="shared" si="12" ref="M42:T42">SUM(M39:M41)</f>
        <v>0</v>
      </c>
      <c r="N42" s="248">
        <f t="shared" si="12"/>
        <v>0</v>
      </c>
      <c r="O42" s="248">
        <f t="shared" si="12"/>
        <v>0</v>
      </c>
      <c r="P42" s="248">
        <f t="shared" si="12"/>
        <v>0</v>
      </c>
      <c r="Q42" s="248">
        <f t="shared" si="12"/>
        <v>0</v>
      </c>
      <c r="R42" s="248">
        <f t="shared" si="12"/>
        <v>0</v>
      </c>
      <c r="S42" s="248">
        <f t="shared" si="12"/>
        <v>0</v>
      </c>
      <c r="T42" s="248">
        <f t="shared" si="12"/>
        <v>0</v>
      </c>
      <c r="U42" s="115"/>
      <c r="V42" s="115"/>
      <c r="W42" s="248" t="s">
        <v>1</v>
      </c>
      <c r="X42" s="248" t="s">
        <v>1</v>
      </c>
      <c r="Y42" s="248">
        <f>SUM(Y39:Y41)</f>
        <v>0</v>
      </c>
      <c r="Z42" s="248">
        <f>SUM(Z39:Z41)</f>
        <v>0</v>
      </c>
      <c r="AA42" s="248">
        <f>SUM(AA39:AA41)</f>
        <v>0</v>
      </c>
      <c r="AB42" s="248">
        <f>SUM(AB39:AB41)</f>
        <v>0</v>
      </c>
      <c r="AC42" s="248">
        <f>SUM(AC39:AC41)</f>
        <v>0</v>
      </c>
      <c r="AD42" s="248" t="s">
        <v>1</v>
      </c>
      <c r="AE42" s="248" t="s">
        <v>1</v>
      </c>
      <c r="AF42" s="248">
        <f>SUM(AF39:AF41)</f>
        <v>0</v>
      </c>
      <c r="AG42" s="248">
        <f>SUM(AG39:AG41)</f>
        <v>0</v>
      </c>
      <c r="AH42" s="248">
        <f>SUM(AH39:AH41)</f>
        <v>0</v>
      </c>
      <c r="AI42" s="248">
        <f>SUM(AI39:AI41)</f>
        <v>0</v>
      </c>
      <c r="AJ42" s="248">
        <f>SUM(AJ39:AJ41)</f>
        <v>0</v>
      </c>
    </row>
    <row r="43" spans="1:36" s="249" customFormat="1" ht="30" customHeight="1">
      <c r="A43" s="244"/>
      <c r="B43" s="584" t="s">
        <v>439</v>
      </c>
      <c r="C43" s="248" t="s">
        <v>1</v>
      </c>
      <c r="D43" s="248" t="s">
        <v>1</v>
      </c>
      <c r="E43" s="248" t="s">
        <v>1</v>
      </c>
      <c r="F43" s="248" t="s">
        <v>1</v>
      </c>
      <c r="G43" s="248">
        <f>+G20+G35+G42</f>
        <v>0</v>
      </c>
      <c r="H43" s="248">
        <f aca="true" t="shared" si="13" ref="H43:V43">+H20+H35+H42</f>
        <v>0</v>
      </c>
      <c r="I43" s="248">
        <f t="shared" si="13"/>
        <v>0</v>
      </c>
      <c r="J43" s="248">
        <f t="shared" si="13"/>
        <v>0</v>
      </c>
      <c r="K43" s="248">
        <f t="shared" si="13"/>
        <v>0</v>
      </c>
      <c r="L43" s="248" t="s">
        <v>1</v>
      </c>
      <c r="M43" s="248">
        <f t="shared" si="13"/>
        <v>0</v>
      </c>
      <c r="N43" s="248">
        <f t="shared" si="13"/>
        <v>0</v>
      </c>
      <c r="O43" s="248">
        <f t="shared" si="13"/>
        <v>0</v>
      </c>
      <c r="P43" s="248">
        <f t="shared" si="13"/>
        <v>0</v>
      </c>
      <c r="Q43" s="248">
        <f t="shared" si="13"/>
        <v>0</v>
      </c>
      <c r="R43" s="248">
        <f t="shared" si="13"/>
        <v>0</v>
      </c>
      <c r="S43" s="248">
        <f t="shared" si="13"/>
        <v>0</v>
      </c>
      <c r="T43" s="248">
        <f t="shared" si="13"/>
        <v>0</v>
      </c>
      <c r="U43" s="248">
        <f t="shared" si="13"/>
        <v>0</v>
      </c>
      <c r="V43" s="248">
        <f t="shared" si="13"/>
        <v>0</v>
      </c>
      <c r="W43" s="248" t="s">
        <v>1</v>
      </c>
      <c r="X43" s="248" t="s">
        <v>1</v>
      </c>
      <c r="Y43" s="248">
        <f>+Y20+Y35+Y42</f>
        <v>0</v>
      </c>
      <c r="Z43" s="248">
        <f>+Z20+Z35+Z42</f>
        <v>0</v>
      </c>
      <c r="AA43" s="248">
        <f>+AA20+AA35+AA42</f>
        <v>0</v>
      </c>
      <c r="AB43" s="248">
        <f>+AB20+AB35+AB42</f>
        <v>0</v>
      </c>
      <c r="AC43" s="248">
        <f>+AC20+AC35+AC42</f>
        <v>0</v>
      </c>
      <c r="AD43" s="248" t="s">
        <v>1</v>
      </c>
      <c r="AE43" s="248" t="s">
        <v>1</v>
      </c>
      <c r="AF43" s="248">
        <f>+AF20+AF35+AF42</f>
        <v>0</v>
      </c>
      <c r="AG43" s="248">
        <f>+AG20+AG35+AG42</f>
        <v>0</v>
      </c>
      <c r="AH43" s="248">
        <f>+AH20+AH35+AH42</f>
        <v>0</v>
      </c>
      <c r="AI43" s="248">
        <f>+AI20+AI35+AI42</f>
        <v>0</v>
      </c>
      <c r="AJ43" s="248">
        <f>+AJ20+AJ35+AJ42</f>
        <v>0</v>
      </c>
    </row>
    <row r="44" ht="28.5" customHeight="1"/>
    <row r="45" ht="13.5">
      <c r="B45" s="5" t="s">
        <v>230</v>
      </c>
    </row>
    <row r="46" spans="2:32" ht="27.75" customHeight="1">
      <c r="B46" s="324" t="s">
        <v>420</v>
      </c>
      <c r="C46" s="191"/>
      <c r="D46" s="324"/>
      <c r="E46" s="324"/>
      <c r="F46" s="324"/>
      <c r="G46" s="324"/>
      <c r="W46" s="324"/>
      <c r="X46" s="324"/>
      <c r="Y46" s="324"/>
      <c r="AD46" s="324"/>
      <c r="AE46" s="324"/>
      <c r="AF46" s="324"/>
    </row>
    <row r="47" spans="2:9" ht="48.75" customHeight="1">
      <c r="B47" s="963" t="s">
        <v>419</v>
      </c>
      <c r="C47" s="964"/>
      <c r="D47" s="964"/>
      <c r="E47" s="964"/>
      <c r="F47" s="964"/>
      <c r="G47" s="964"/>
      <c r="H47" s="964"/>
      <c r="I47" s="964"/>
    </row>
    <row r="48" spans="2:32" ht="19.5" customHeight="1">
      <c r="B48" s="326" t="s">
        <v>291</v>
      </c>
      <c r="C48" s="324"/>
      <c r="D48" s="324"/>
      <c r="E48" s="324"/>
      <c r="F48" s="324"/>
      <c r="G48" s="324"/>
      <c r="W48" s="324"/>
      <c r="X48" s="324"/>
      <c r="Y48" s="324"/>
      <c r="AD48" s="324"/>
      <c r="AE48" s="324"/>
      <c r="AF48" s="324"/>
    </row>
    <row r="49" spans="2:9" ht="31.5" customHeight="1">
      <c r="B49" s="978" t="s">
        <v>488</v>
      </c>
      <c r="C49" s="978"/>
      <c r="D49" s="978"/>
      <c r="E49" s="978"/>
      <c r="F49" s="978"/>
      <c r="G49" s="978"/>
      <c r="H49" s="978"/>
      <c r="I49" s="978"/>
    </row>
  </sheetData>
  <sheetProtection/>
  <mergeCells count="4">
    <mergeCell ref="M4:Q4"/>
    <mergeCell ref="R4:V4"/>
    <mergeCell ref="B47:I47"/>
    <mergeCell ref="B49:I4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J18"/>
  <sheetViews>
    <sheetView zoomScalePageLayoutView="0" workbookViewId="0" topLeftCell="A1">
      <selection activeCell="B4" sqref="B3:L4"/>
    </sheetView>
  </sheetViews>
  <sheetFormatPr defaultColWidth="9.140625" defaultRowHeight="12.75"/>
  <cols>
    <col min="1" max="1" width="3.140625" style="42" bestFit="1" customWidth="1"/>
    <col min="2" max="2" width="21.28125" style="42" customWidth="1"/>
    <col min="3" max="5" width="9.140625" style="42" customWidth="1"/>
    <col min="6" max="6" width="10.8515625" style="42" customWidth="1"/>
    <col min="7" max="7" width="8.8515625" style="42" customWidth="1"/>
    <col min="8" max="8" width="13.8515625" style="42" customWidth="1"/>
    <col min="9" max="9" width="11.57421875" style="42" customWidth="1"/>
    <col min="10" max="10" width="10.8515625" style="42" customWidth="1"/>
    <col min="11" max="12" width="11.00390625" style="42" customWidth="1"/>
    <col min="13" max="13" width="8.57421875" style="42" customWidth="1"/>
    <col min="14" max="23" width="9.140625" style="42" customWidth="1"/>
    <col min="24" max="24" width="10.8515625" style="42" customWidth="1"/>
    <col min="25" max="25" width="8.8515625" style="42" customWidth="1"/>
    <col min="26" max="26" width="10.7109375" style="42" bestFit="1" customWidth="1"/>
    <col min="27" max="27" width="9.421875" style="42" bestFit="1" customWidth="1"/>
    <col min="28" max="28" width="9.00390625" style="42" bestFit="1" customWidth="1"/>
    <col min="29" max="29" width="11.00390625" style="42" customWidth="1"/>
    <col min="30" max="30" width="9.140625" style="42" customWidth="1"/>
    <col min="31" max="31" width="10.8515625" style="42" customWidth="1"/>
    <col min="32" max="32" width="8.8515625" style="42" customWidth="1"/>
    <col min="33" max="33" width="10.7109375" style="42" bestFit="1" customWidth="1"/>
    <col min="34" max="34" width="9.421875" style="42" bestFit="1" customWidth="1"/>
    <col min="35" max="35" width="9.00390625" style="42" bestFit="1" customWidth="1"/>
    <col min="36" max="36" width="11.00390625" style="42" customWidth="1"/>
    <col min="37" max="16384" width="9.140625" style="42" customWidth="1"/>
  </cols>
  <sheetData>
    <row r="1" spans="1:36" s="5" customFormat="1" ht="16.5">
      <c r="A1" s="32"/>
      <c r="B1" s="236" t="s">
        <v>218</v>
      </c>
      <c r="C1" s="33"/>
      <c r="D1" s="33"/>
      <c r="E1" s="33"/>
      <c r="F1" s="33"/>
      <c r="G1" s="33"/>
      <c r="H1" s="33"/>
      <c r="I1" s="3"/>
      <c r="J1" s="138"/>
      <c r="K1" s="138"/>
      <c r="L1" s="138"/>
      <c r="M1" s="33"/>
      <c r="N1" s="138"/>
      <c r="O1" s="32"/>
      <c r="P1" s="137" t="s">
        <v>253</v>
      </c>
      <c r="Q1" s="33"/>
      <c r="R1" s="138"/>
      <c r="S1" s="33"/>
      <c r="T1" s="138"/>
      <c r="U1" s="33"/>
      <c r="V1" s="138"/>
      <c r="W1" s="190"/>
      <c r="X1" s="190"/>
      <c r="Y1" s="190"/>
      <c r="Z1" s="190"/>
      <c r="AA1" s="3"/>
      <c r="AB1" s="23"/>
      <c r="AC1" s="23"/>
      <c r="AD1" s="190"/>
      <c r="AE1" s="190"/>
      <c r="AF1" s="190"/>
      <c r="AG1" s="190"/>
      <c r="AH1" s="3"/>
      <c r="AI1" s="138"/>
      <c r="AJ1" s="138"/>
    </row>
    <row r="2" spans="1:36" s="5" customFormat="1" ht="22.5" customHeight="1" thickBot="1">
      <c r="A2" s="32"/>
      <c r="B2" s="24"/>
      <c r="C2" s="187"/>
      <c r="D2" s="187"/>
      <c r="E2" s="187"/>
      <c r="F2" s="187"/>
      <c r="G2" s="24"/>
      <c r="H2" s="187"/>
      <c r="I2" s="188"/>
      <c r="J2" s="9"/>
      <c r="K2" s="188"/>
      <c r="L2" s="188"/>
      <c r="M2" s="237"/>
      <c r="N2" s="238"/>
      <c r="P2" s="422" t="s">
        <v>27</v>
      </c>
      <c r="Q2" s="422"/>
      <c r="R2" s="152"/>
      <c r="S2" s="152"/>
      <c r="T2" s="152"/>
      <c r="U2" s="152"/>
      <c r="V2" s="152"/>
      <c r="W2" s="9"/>
      <c r="X2" s="9"/>
      <c r="Y2" s="6"/>
      <c r="Z2" s="9"/>
      <c r="AA2" s="188"/>
      <c r="AB2" s="9"/>
      <c r="AC2" s="188"/>
      <c r="AD2" s="9"/>
      <c r="AE2" s="9"/>
      <c r="AF2" s="6"/>
      <c r="AG2" s="9"/>
      <c r="AH2" s="188"/>
      <c r="AI2" s="9"/>
      <c r="AJ2" s="188"/>
    </row>
    <row r="3" spans="1:36" s="191" customFormat="1" ht="27">
      <c r="A3" s="32"/>
      <c r="B3" s="423" t="s">
        <v>28</v>
      </c>
      <c r="C3" s="138"/>
      <c r="D3" s="138"/>
      <c r="E3" s="138"/>
      <c r="F3" s="33"/>
      <c r="G3" s="189"/>
      <c r="H3" s="33"/>
      <c r="I3" s="33"/>
      <c r="J3" s="33"/>
      <c r="K3" s="190"/>
      <c r="L3" s="190"/>
      <c r="M3" s="36"/>
      <c r="N3" s="190"/>
      <c r="O3" s="33"/>
      <c r="P3" s="190"/>
      <c r="Q3" s="36"/>
      <c r="R3" s="190"/>
      <c r="S3" s="36"/>
      <c r="T3" s="190"/>
      <c r="U3" s="36"/>
      <c r="V3" s="190"/>
      <c r="W3" s="138"/>
      <c r="X3" s="33"/>
      <c r="Y3" s="189"/>
      <c r="Z3" s="33"/>
      <c r="AA3" s="33"/>
      <c r="AB3" s="33"/>
      <c r="AC3" s="190"/>
      <c r="AD3" s="138"/>
      <c r="AE3" s="33"/>
      <c r="AF3" s="189"/>
      <c r="AG3" s="33"/>
      <c r="AH3" s="33"/>
      <c r="AI3" s="33"/>
      <c r="AJ3" s="190"/>
    </row>
    <row r="4" spans="1:36" s="191" customFormat="1" ht="22.5" customHeight="1">
      <c r="A4" s="32"/>
      <c r="B4" s="189"/>
      <c r="C4" s="138"/>
      <c r="D4" s="138"/>
      <c r="E4" s="138"/>
      <c r="F4" s="33"/>
      <c r="G4" s="189"/>
      <c r="H4" s="33"/>
      <c r="I4" s="33"/>
      <c r="J4" s="33"/>
      <c r="K4" s="190"/>
      <c r="L4" s="190"/>
      <c r="M4" s="36"/>
      <c r="N4" s="190"/>
      <c r="O4" s="33"/>
      <c r="P4" s="43" t="s">
        <v>216</v>
      </c>
      <c r="Q4" s="36"/>
      <c r="R4" s="190"/>
      <c r="S4" s="36"/>
      <c r="T4" s="190"/>
      <c r="U4" s="36"/>
      <c r="V4" s="190"/>
      <c r="W4" s="138"/>
      <c r="X4" s="33"/>
      <c r="Y4" s="189"/>
      <c r="Z4" s="33"/>
      <c r="AA4" s="33"/>
      <c r="AB4" s="33"/>
      <c r="AC4" s="190"/>
      <c r="AD4" s="138"/>
      <c r="AE4" s="33"/>
      <c r="AF4" s="189"/>
      <c r="AG4" s="33"/>
      <c r="AH4" s="33"/>
      <c r="AI4" s="33"/>
      <c r="AJ4" s="190"/>
    </row>
    <row r="5" spans="1:36" s="366" customFormat="1" ht="14.25">
      <c r="A5" s="282"/>
      <c r="B5" s="363"/>
      <c r="C5" s="364"/>
      <c r="D5" s="365"/>
      <c r="E5" s="365"/>
      <c r="F5" s="365"/>
      <c r="G5" s="367" t="s">
        <v>458</v>
      </c>
      <c r="H5" s="365"/>
      <c r="I5" s="365"/>
      <c r="J5" s="365"/>
      <c r="K5" s="365"/>
      <c r="L5" s="364"/>
      <c r="M5" s="975" t="s">
        <v>451</v>
      </c>
      <c r="N5" s="975"/>
      <c r="O5" s="975"/>
      <c r="P5" s="975"/>
      <c r="Q5" s="976"/>
      <c r="R5" s="977" t="s">
        <v>217</v>
      </c>
      <c r="S5" s="975"/>
      <c r="T5" s="975"/>
      <c r="U5" s="975"/>
      <c r="V5" s="976"/>
      <c r="W5" s="364"/>
      <c r="X5" s="365"/>
      <c r="Y5" s="367" t="s">
        <v>476</v>
      </c>
      <c r="Z5" s="365"/>
      <c r="AA5" s="365"/>
      <c r="AB5" s="365"/>
      <c r="AC5" s="467"/>
      <c r="AD5" s="364"/>
      <c r="AE5" s="365"/>
      <c r="AF5" s="367" t="s">
        <v>520</v>
      </c>
      <c r="AG5" s="365"/>
      <c r="AH5" s="365"/>
      <c r="AI5" s="365"/>
      <c r="AJ5" s="467"/>
    </row>
    <row r="6" spans="1:36" s="191" customFormat="1" ht="89.25">
      <c r="A6" s="243" t="s">
        <v>111</v>
      </c>
      <c r="B6" s="66" t="s">
        <v>219</v>
      </c>
      <c r="C6" s="66" t="s">
        <v>220</v>
      </c>
      <c r="D6" s="66" t="s">
        <v>221</v>
      </c>
      <c r="E6" s="66" t="s">
        <v>222</v>
      </c>
      <c r="F6" s="562" t="s">
        <v>457</v>
      </c>
      <c r="G6" s="66" t="s">
        <v>212</v>
      </c>
      <c r="H6" s="325" t="s">
        <v>314</v>
      </c>
      <c r="I6" s="66" t="s">
        <v>223</v>
      </c>
      <c r="J6" s="66" t="s">
        <v>224</v>
      </c>
      <c r="K6" s="66" t="s">
        <v>225</v>
      </c>
      <c r="L6" s="562" t="s">
        <v>456</v>
      </c>
      <c r="M6" s="66" t="s">
        <v>212</v>
      </c>
      <c r="N6" s="66" t="s">
        <v>284</v>
      </c>
      <c r="O6" s="66" t="s">
        <v>223</v>
      </c>
      <c r="P6" s="66" t="s">
        <v>224</v>
      </c>
      <c r="Q6" s="66" t="s">
        <v>299</v>
      </c>
      <c r="R6" s="66" t="s">
        <v>212</v>
      </c>
      <c r="S6" s="66" t="s">
        <v>284</v>
      </c>
      <c r="T6" s="66" t="s">
        <v>223</v>
      </c>
      <c r="U6" s="66" t="s">
        <v>224</v>
      </c>
      <c r="V6" s="66" t="s">
        <v>300</v>
      </c>
      <c r="W6" s="66" t="s">
        <v>222</v>
      </c>
      <c r="X6" s="562" t="s">
        <v>475</v>
      </c>
      <c r="Y6" s="66" t="s">
        <v>212</v>
      </c>
      <c r="Z6" s="66" t="s">
        <v>239</v>
      </c>
      <c r="AA6" s="66" t="s">
        <v>223</v>
      </c>
      <c r="AB6" s="66" t="s">
        <v>224</v>
      </c>
      <c r="AC6" s="66" t="s">
        <v>255</v>
      </c>
      <c r="AD6" s="66" t="s">
        <v>222</v>
      </c>
      <c r="AE6" s="562" t="s">
        <v>522</v>
      </c>
      <c r="AF6" s="66" t="s">
        <v>212</v>
      </c>
      <c r="AG6" s="66" t="s">
        <v>239</v>
      </c>
      <c r="AH6" s="66" t="s">
        <v>223</v>
      </c>
      <c r="AI6" s="66" t="s">
        <v>224</v>
      </c>
      <c r="AJ6" s="66" t="s">
        <v>255</v>
      </c>
    </row>
    <row r="7" spans="1:36" s="37" customFormat="1" ht="12.75">
      <c r="A7" s="127">
        <v>1</v>
      </c>
      <c r="B7" s="127">
        <v>2</v>
      </c>
      <c r="C7" s="127">
        <v>3</v>
      </c>
      <c r="D7" s="127">
        <v>4</v>
      </c>
      <c r="E7" s="127">
        <v>5</v>
      </c>
      <c r="F7" s="127">
        <v>6</v>
      </c>
      <c r="G7" s="127">
        <v>7</v>
      </c>
      <c r="H7" s="127">
        <v>8</v>
      </c>
      <c r="I7" s="127">
        <v>9</v>
      </c>
      <c r="J7" s="127">
        <v>10</v>
      </c>
      <c r="K7" s="127">
        <v>11</v>
      </c>
      <c r="L7" s="127">
        <v>12</v>
      </c>
      <c r="M7" s="127">
        <v>13</v>
      </c>
      <c r="N7" s="127">
        <v>14</v>
      </c>
      <c r="O7" s="127">
        <v>15</v>
      </c>
      <c r="P7" s="127">
        <v>16</v>
      </c>
      <c r="Q7" s="127">
        <v>17</v>
      </c>
      <c r="R7" s="127">
        <v>18</v>
      </c>
      <c r="S7" s="127">
        <v>19</v>
      </c>
      <c r="T7" s="127">
        <v>20</v>
      </c>
      <c r="U7" s="127">
        <v>21</v>
      </c>
      <c r="V7" s="127">
        <v>22</v>
      </c>
      <c r="W7" s="127">
        <v>23</v>
      </c>
      <c r="X7" s="127">
        <v>24</v>
      </c>
      <c r="Y7" s="127">
        <v>25</v>
      </c>
      <c r="Z7" s="127">
        <v>26</v>
      </c>
      <c r="AA7" s="127">
        <v>27</v>
      </c>
      <c r="AB7" s="127">
        <v>28</v>
      </c>
      <c r="AC7" s="127">
        <v>29</v>
      </c>
      <c r="AD7" s="127">
        <v>30</v>
      </c>
      <c r="AE7" s="127">
        <v>31</v>
      </c>
      <c r="AF7" s="127">
        <v>32</v>
      </c>
      <c r="AG7" s="127">
        <v>33</v>
      </c>
      <c r="AH7" s="127">
        <v>34</v>
      </c>
      <c r="AI7" s="127">
        <v>35</v>
      </c>
      <c r="AJ7" s="127">
        <v>36</v>
      </c>
    </row>
    <row r="8" spans="1:36" s="5" customFormat="1" ht="27">
      <c r="A8" s="244" t="s">
        <v>2</v>
      </c>
      <c r="B8" s="252" t="s">
        <v>496</v>
      </c>
      <c r="C8" s="248" t="s">
        <v>1</v>
      </c>
      <c r="D8" s="248" t="s">
        <v>1</v>
      </c>
      <c r="E8" s="248" t="s">
        <v>1</v>
      </c>
      <c r="F8" s="248" t="s">
        <v>1</v>
      </c>
      <c r="G8" s="248">
        <f aca="true" t="shared" si="0" ref="G8:V8">SUM(G10:G12)</f>
        <v>0</v>
      </c>
      <c r="H8" s="248">
        <f t="shared" si="0"/>
        <v>0</v>
      </c>
      <c r="I8" s="248">
        <f t="shared" si="0"/>
        <v>0</v>
      </c>
      <c r="J8" s="248">
        <f t="shared" si="0"/>
        <v>0</v>
      </c>
      <c r="K8" s="248">
        <f t="shared" si="0"/>
        <v>0</v>
      </c>
      <c r="L8" s="248" t="s">
        <v>1</v>
      </c>
      <c r="M8" s="248">
        <f t="shared" si="0"/>
        <v>0</v>
      </c>
      <c r="N8" s="248">
        <f t="shared" si="0"/>
        <v>0</v>
      </c>
      <c r="O8" s="248">
        <f t="shared" si="0"/>
        <v>0</v>
      </c>
      <c r="P8" s="248">
        <f t="shared" si="0"/>
        <v>0</v>
      </c>
      <c r="Q8" s="248">
        <f t="shared" si="0"/>
        <v>0</v>
      </c>
      <c r="R8" s="248">
        <f t="shared" si="0"/>
        <v>0</v>
      </c>
      <c r="S8" s="248">
        <f t="shared" si="0"/>
        <v>0</v>
      </c>
      <c r="T8" s="248">
        <f t="shared" si="0"/>
        <v>0</v>
      </c>
      <c r="U8" s="248">
        <f t="shared" si="0"/>
        <v>0</v>
      </c>
      <c r="V8" s="248">
        <f t="shared" si="0"/>
        <v>0</v>
      </c>
      <c r="W8" s="248" t="s">
        <v>1</v>
      </c>
      <c r="X8" s="248" t="s">
        <v>1</v>
      </c>
      <c r="Y8" s="248">
        <f>SUM(Y10:Y12)</f>
        <v>0</v>
      </c>
      <c r="Z8" s="248">
        <f>SUM(Z10:Z12)</f>
        <v>0</v>
      </c>
      <c r="AA8" s="248">
        <f>SUM(AA10:AA12)</f>
        <v>0</v>
      </c>
      <c r="AB8" s="248">
        <f>SUM(AB10:AB12)</f>
        <v>0</v>
      </c>
      <c r="AC8" s="248">
        <f>SUM(AC10:AC12)</f>
        <v>0</v>
      </c>
      <c r="AD8" s="248" t="s">
        <v>1</v>
      </c>
      <c r="AE8" s="248" t="s">
        <v>1</v>
      </c>
      <c r="AF8" s="248">
        <f>SUM(AF10:AF12)</f>
        <v>0</v>
      </c>
      <c r="AG8" s="248">
        <f>SUM(AG10:AG12)</f>
        <v>0</v>
      </c>
      <c r="AH8" s="248">
        <f>SUM(AH10:AH12)</f>
        <v>0</v>
      </c>
      <c r="AI8" s="248">
        <f>SUM(AI10:AI12)</f>
        <v>0</v>
      </c>
      <c r="AJ8" s="248">
        <f>SUM(AJ10:AJ12)</f>
        <v>0</v>
      </c>
    </row>
    <row r="9" spans="1:36" s="5" customFormat="1" ht="13.5">
      <c r="A9" s="232"/>
      <c r="B9" s="207" t="s">
        <v>123</v>
      </c>
      <c r="C9" s="246"/>
      <c r="D9" s="246"/>
      <c r="E9" s="246"/>
      <c r="F9" s="246"/>
      <c r="G9" s="207"/>
      <c r="H9" s="246"/>
      <c r="I9" s="246"/>
      <c r="J9" s="246"/>
      <c r="K9" s="246"/>
      <c r="L9" s="246"/>
      <c r="M9" s="207"/>
      <c r="N9" s="246"/>
      <c r="O9" s="246"/>
      <c r="P9" s="246"/>
      <c r="Q9" s="207"/>
      <c r="R9" s="246"/>
      <c r="S9" s="207"/>
      <c r="T9" s="246"/>
      <c r="U9" s="109"/>
      <c r="V9" s="109"/>
      <c r="W9" s="246"/>
      <c r="X9" s="246"/>
      <c r="Y9" s="207"/>
      <c r="Z9" s="246"/>
      <c r="AA9" s="246"/>
      <c r="AB9" s="246"/>
      <c r="AC9" s="246"/>
      <c r="AD9" s="246"/>
      <c r="AE9" s="246"/>
      <c r="AF9" s="207"/>
      <c r="AG9" s="246"/>
      <c r="AH9" s="246"/>
      <c r="AI9" s="246"/>
      <c r="AJ9" s="246"/>
    </row>
    <row r="10" spans="1:36" s="5" customFormat="1" ht="13.5">
      <c r="A10" s="232">
        <v>1</v>
      </c>
      <c r="B10" s="104"/>
      <c r="C10" s="232"/>
      <c r="D10" s="246" t="s">
        <v>1</v>
      </c>
      <c r="E10" s="246" t="s">
        <v>1</v>
      </c>
      <c r="F10" s="246"/>
      <c r="G10" s="104"/>
      <c r="H10" s="232"/>
      <c r="I10" s="232"/>
      <c r="J10" s="232"/>
      <c r="K10" s="246">
        <f>H10+I10+J10</f>
        <v>0</v>
      </c>
      <c r="L10" s="246"/>
      <c r="M10" s="104"/>
      <c r="N10" s="232"/>
      <c r="O10" s="232"/>
      <c r="P10" s="232"/>
      <c r="Q10" s="246">
        <f>N10+O10+P10</f>
        <v>0</v>
      </c>
      <c r="R10" s="246">
        <f aca="true" t="shared" si="1" ref="R10:U12">G10-M10</f>
        <v>0</v>
      </c>
      <c r="S10" s="246">
        <f t="shared" si="1"/>
        <v>0</v>
      </c>
      <c r="T10" s="246">
        <f t="shared" si="1"/>
        <v>0</v>
      </c>
      <c r="U10" s="246">
        <f t="shared" si="1"/>
        <v>0</v>
      </c>
      <c r="V10" s="246">
        <f>S10+T10+U10</f>
        <v>0</v>
      </c>
      <c r="W10" s="246" t="s">
        <v>1</v>
      </c>
      <c r="X10" s="246"/>
      <c r="Y10" s="104"/>
      <c r="Z10" s="232"/>
      <c r="AA10" s="232"/>
      <c r="AB10" s="232"/>
      <c r="AC10" s="246">
        <f>Z10+AA10+AB10</f>
        <v>0</v>
      </c>
      <c r="AD10" s="246" t="s">
        <v>1</v>
      </c>
      <c r="AE10" s="246"/>
      <c r="AF10" s="104"/>
      <c r="AG10" s="232"/>
      <c r="AH10" s="232"/>
      <c r="AI10" s="232"/>
      <c r="AJ10" s="246">
        <f>AG10+AH10+AI10</f>
        <v>0</v>
      </c>
    </row>
    <row r="11" spans="1:36" s="5" customFormat="1" ht="13.5">
      <c r="A11" s="232">
        <v>2</v>
      </c>
      <c r="B11" s="104"/>
      <c r="C11" s="232"/>
      <c r="D11" s="246" t="s">
        <v>1</v>
      </c>
      <c r="E11" s="246" t="s">
        <v>1</v>
      </c>
      <c r="F11" s="246"/>
      <c r="G11" s="104"/>
      <c r="H11" s="232"/>
      <c r="I11" s="232"/>
      <c r="J11" s="232"/>
      <c r="K11" s="246">
        <f>H11+I11+J11</f>
        <v>0</v>
      </c>
      <c r="L11" s="246"/>
      <c r="M11" s="104"/>
      <c r="N11" s="232"/>
      <c r="O11" s="232"/>
      <c r="P11" s="232"/>
      <c r="Q11" s="246">
        <f>N11+O11+P11</f>
        <v>0</v>
      </c>
      <c r="R11" s="246">
        <f t="shared" si="1"/>
        <v>0</v>
      </c>
      <c r="S11" s="246">
        <f t="shared" si="1"/>
        <v>0</v>
      </c>
      <c r="T11" s="246">
        <f t="shared" si="1"/>
        <v>0</v>
      </c>
      <c r="U11" s="246">
        <f t="shared" si="1"/>
        <v>0</v>
      </c>
      <c r="V11" s="246">
        <f>S11+T11+U11</f>
        <v>0</v>
      </c>
      <c r="W11" s="246" t="s">
        <v>1</v>
      </c>
      <c r="X11" s="246"/>
      <c r="Y11" s="104"/>
      <c r="Z11" s="232"/>
      <c r="AA11" s="232"/>
      <c r="AB11" s="232"/>
      <c r="AC11" s="246">
        <f>Z11+AA11+AB11</f>
        <v>0</v>
      </c>
      <c r="AD11" s="246" t="s">
        <v>1</v>
      </c>
      <c r="AE11" s="246"/>
      <c r="AF11" s="104"/>
      <c r="AG11" s="232"/>
      <c r="AH11" s="232"/>
      <c r="AI11" s="232"/>
      <c r="AJ11" s="246">
        <f>AG11+AH11+AI11</f>
        <v>0</v>
      </c>
    </row>
    <row r="12" spans="1:36" s="5" customFormat="1" ht="13.5">
      <c r="A12" s="232">
        <v>3</v>
      </c>
      <c r="B12" s="104"/>
      <c r="C12" s="232"/>
      <c r="D12" s="246" t="s">
        <v>1</v>
      </c>
      <c r="E12" s="246" t="s">
        <v>1</v>
      </c>
      <c r="F12" s="246"/>
      <c r="G12" s="104"/>
      <c r="H12" s="232"/>
      <c r="I12" s="232"/>
      <c r="J12" s="232"/>
      <c r="K12" s="246">
        <f>H12+I12+J12</f>
        <v>0</v>
      </c>
      <c r="L12" s="246"/>
      <c r="M12" s="104"/>
      <c r="N12" s="232"/>
      <c r="O12" s="232"/>
      <c r="P12" s="232"/>
      <c r="Q12" s="246">
        <f>N12+O12+P12</f>
        <v>0</v>
      </c>
      <c r="R12" s="246">
        <f t="shared" si="1"/>
        <v>0</v>
      </c>
      <c r="S12" s="246">
        <f t="shared" si="1"/>
        <v>0</v>
      </c>
      <c r="T12" s="246">
        <f t="shared" si="1"/>
        <v>0</v>
      </c>
      <c r="U12" s="246">
        <f t="shared" si="1"/>
        <v>0</v>
      </c>
      <c r="V12" s="246">
        <f>S12+T12+U12</f>
        <v>0</v>
      </c>
      <c r="W12" s="246" t="s">
        <v>1</v>
      </c>
      <c r="X12" s="246"/>
      <c r="Y12" s="104"/>
      <c r="Z12" s="232"/>
      <c r="AA12" s="232"/>
      <c r="AB12" s="232"/>
      <c r="AC12" s="246">
        <f>Z12+AA12+AB12</f>
        <v>0</v>
      </c>
      <c r="AD12" s="246" t="s">
        <v>1</v>
      </c>
      <c r="AE12" s="246"/>
      <c r="AF12" s="104"/>
      <c r="AG12" s="232"/>
      <c r="AH12" s="232"/>
      <c r="AI12" s="232"/>
      <c r="AJ12" s="246">
        <f>AG12+AH12+AI12</f>
        <v>0</v>
      </c>
    </row>
    <row r="13" spans="1:36" s="5" customFormat="1" ht="13.5">
      <c r="A13" s="232"/>
      <c r="B13" s="104"/>
      <c r="C13" s="232"/>
      <c r="D13" s="246"/>
      <c r="E13" s="246"/>
      <c r="F13" s="246"/>
      <c r="G13" s="104"/>
      <c r="H13" s="232"/>
      <c r="I13" s="232"/>
      <c r="J13" s="232"/>
      <c r="K13" s="246"/>
      <c r="L13" s="246"/>
      <c r="M13" s="104"/>
      <c r="N13" s="232"/>
      <c r="O13" s="246"/>
      <c r="P13" s="246"/>
      <c r="Q13" s="104"/>
      <c r="R13" s="232"/>
      <c r="S13" s="104"/>
      <c r="T13" s="232"/>
      <c r="U13" s="109"/>
      <c r="V13" s="109"/>
      <c r="W13" s="246"/>
      <c r="X13" s="246"/>
      <c r="Y13" s="104"/>
      <c r="Z13" s="232"/>
      <c r="AA13" s="232"/>
      <c r="AB13" s="232"/>
      <c r="AC13" s="246"/>
      <c r="AD13" s="246"/>
      <c r="AE13" s="246"/>
      <c r="AF13" s="104"/>
      <c r="AG13" s="232"/>
      <c r="AH13" s="232"/>
      <c r="AI13" s="232"/>
      <c r="AJ13" s="246"/>
    </row>
    <row r="17" spans="1:32" s="5" customFormat="1" ht="24.75" customHeight="1">
      <c r="A17" s="4"/>
      <c r="B17" s="326" t="s">
        <v>291</v>
      </c>
      <c r="C17" s="324"/>
      <c r="D17" s="324"/>
      <c r="E17" s="324"/>
      <c r="F17" s="324"/>
      <c r="G17" s="324"/>
      <c r="W17" s="324"/>
      <c r="X17" s="324"/>
      <c r="Y17" s="324"/>
      <c r="AD17" s="324"/>
      <c r="AE17" s="324"/>
      <c r="AF17" s="324"/>
    </row>
    <row r="18" spans="2:9" ht="36" customHeight="1">
      <c r="B18" s="965" t="s">
        <v>487</v>
      </c>
      <c r="C18" s="965"/>
      <c r="D18" s="965"/>
      <c r="E18" s="965"/>
      <c r="F18" s="965"/>
      <c r="G18" s="965"/>
      <c r="H18" s="965"/>
      <c r="I18" s="965"/>
    </row>
  </sheetData>
  <sheetProtection/>
  <mergeCells count="3">
    <mergeCell ref="M5:Q5"/>
    <mergeCell ref="R5:V5"/>
    <mergeCell ref="B18:I18"/>
  </mergeCells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BF43"/>
  <sheetViews>
    <sheetView zoomScalePageLayoutView="0" workbookViewId="0" topLeftCell="A1">
      <selection activeCell="Q6" sqref="Q6"/>
    </sheetView>
  </sheetViews>
  <sheetFormatPr defaultColWidth="9.140625" defaultRowHeight="12.75"/>
  <cols>
    <col min="1" max="1" width="3.57421875" style="5" customWidth="1"/>
    <col min="2" max="2" width="24.00390625" style="21" customWidth="1"/>
    <col min="3" max="4" width="10.28125" style="5" customWidth="1"/>
    <col min="5" max="8" width="10.7109375" style="5" customWidth="1"/>
    <col min="9" max="9" width="12.28125" style="5" customWidth="1"/>
    <col min="10" max="10" width="12.7109375" style="411" customWidth="1"/>
    <col min="11" max="11" width="12.8515625" style="21" customWidth="1"/>
    <col min="12" max="12" width="10.7109375" style="21" customWidth="1"/>
    <col min="13" max="13" width="12.7109375" style="5" customWidth="1"/>
    <col min="14" max="14" width="13.00390625" style="5" customWidth="1"/>
    <col min="15" max="15" width="13.00390625" style="435" customWidth="1"/>
    <col min="16" max="16" width="10.7109375" style="5" customWidth="1"/>
    <col min="17" max="17" width="11.7109375" style="5" customWidth="1"/>
    <col min="18" max="18" width="13.140625" style="5" customWidth="1"/>
    <col min="19" max="19" width="10.7109375" style="427" customWidth="1"/>
    <col min="20" max="20" width="12.8515625" style="21" customWidth="1"/>
    <col min="21" max="21" width="10.7109375" style="21" customWidth="1"/>
    <col min="22" max="22" width="12.7109375" style="5" customWidth="1"/>
    <col min="23" max="23" width="12.8515625" style="21" customWidth="1"/>
    <col min="24" max="24" width="10.7109375" style="21" customWidth="1"/>
    <col min="25" max="25" width="12.7109375" style="5" customWidth="1"/>
    <col min="26" max="26" width="13.00390625" style="5" customWidth="1"/>
    <col min="27" max="27" width="13.00390625" style="435" customWidth="1"/>
    <col min="28" max="28" width="10.7109375" style="5" customWidth="1"/>
    <col min="29" max="29" width="13.7109375" style="5" customWidth="1"/>
    <col min="30" max="30" width="13.140625" style="5" customWidth="1"/>
    <col min="31" max="31" width="12.00390625" style="427" customWidth="1"/>
    <col min="32" max="32" width="12.00390625" style="5" customWidth="1"/>
    <col min="33" max="34" width="10.57421875" style="5" customWidth="1"/>
    <col min="35" max="35" width="13.7109375" style="5" customWidth="1"/>
    <col min="36" max="36" width="11.140625" style="5" customWidth="1"/>
    <col min="37" max="37" width="10.7109375" style="427" customWidth="1"/>
    <col min="38" max="38" width="10.7109375" style="5" customWidth="1"/>
    <col min="39" max="39" width="12.7109375" style="5" customWidth="1"/>
    <col min="40" max="40" width="12.8515625" style="21" customWidth="1"/>
    <col min="41" max="41" width="10.7109375" style="21" customWidth="1"/>
    <col min="42" max="42" width="12.7109375" style="5" customWidth="1"/>
    <col min="43" max="43" width="13.00390625" style="5" customWidth="1"/>
    <col min="44" max="44" width="13.00390625" style="435" customWidth="1"/>
    <col min="45" max="45" width="10.7109375" style="5" customWidth="1"/>
    <col min="46" max="46" width="11.7109375" style="5" customWidth="1"/>
    <col min="47" max="47" width="13.140625" style="5" customWidth="1"/>
    <col min="48" max="48" width="10.7109375" style="427" customWidth="1"/>
    <col min="49" max="49" width="10.7109375" style="5" customWidth="1"/>
    <col min="50" max="50" width="12.7109375" style="5" customWidth="1"/>
    <col min="51" max="51" width="12.8515625" style="21" customWidth="1"/>
    <col min="52" max="52" width="10.7109375" style="21" customWidth="1"/>
    <col min="53" max="53" width="12.7109375" style="5" customWidth="1"/>
    <col min="54" max="54" width="13.00390625" style="5" customWidth="1"/>
    <col min="55" max="55" width="13.00390625" style="435" customWidth="1"/>
    <col min="56" max="57" width="10.7109375" style="5" customWidth="1"/>
    <col min="58" max="58" width="13.140625" style="5" customWidth="1"/>
    <col min="59" max="16384" width="9.140625" style="274" customWidth="1"/>
  </cols>
  <sheetData>
    <row r="1" spans="1:58" s="5" customFormat="1" ht="43.5" customHeight="1">
      <c r="A1" s="32"/>
      <c r="B1" s="588" t="s">
        <v>218</v>
      </c>
      <c r="C1" s="33"/>
      <c r="D1" s="33"/>
      <c r="E1" s="33"/>
      <c r="F1" s="33"/>
      <c r="G1" s="33"/>
      <c r="H1" s="33"/>
      <c r="I1" s="33"/>
      <c r="J1" s="411"/>
      <c r="K1" s="21"/>
      <c r="L1" s="21"/>
      <c r="M1" s="33"/>
      <c r="N1" s="33"/>
      <c r="O1" s="435"/>
      <c r="P1" s="33"/>
      <c r="Q1" s="33"/>
      <c r="R1" s="437"/>
      <c r="S1" s="435"/>
      <c r="T1" s="678" t="s">
        <v>256</v>
      </c>
      <c r="U1" s="21"/>
      <c r="V1" s="33"/>
      <c r="W1" s="21"/>
      <c r="X1" s="678"/>
      <c r="Y1" s="33"/>
      <c r="Z1" s="33"/>
      <c r="AA1" s="435"/>
      <c r="AB1" s="33"/>
      <c r="AC1" s="33"/>
      <c r="AD1" s="437"/>
      <c r="AE1" s="448"/>
      <c r="AF1" s="23"/>
      <c r="AG1" s="23"/>
      <c r="AH1" s="328"/>
      <c r="AI1" s="33"/>
      <c r="AJ1" s="137"/>
      <c r="AK1" s="435"/>
      <c r="AL1" s="33"/>
      <c r="AM1" s="33"/>
      <c r="AN1" s="21"/>
      <c r="AO1" s="21"/>
      <c r="AP1" s="33"/>
      <c r="AQ1" s="33"/>
      <c r="AR1" s="435"/>
      <c r="AS1" s="33"/>
      <c r="AT1" s="33"/>
      <c r="AU1" s="604"/>
      <c r="AV1" s="435"/>
      <c r="AW1" s="33"/>
      <c r="AX1" s="33"/>
      <c r="AY1" s="21"/>
      <c r="AZ1" s="21"/>
      <c r="BA1" s="33"/>
      <c r="BB1" s="33"/>
      <c r="BC1" s="435"/>
      <c r="BD1" s="33"/>
      <c r="BE1" s="33"/>
      <c r="BF1" s="604"/>
    </row>
    <row r="2" spans="1:58" s="5" customFormat="1" ht="22.5" customHeight="1" thickBot="1">
      <c r="A2" s="32"/>
      <c r="B2" s="589"/>
      <c r="C2" s="187"/>
      <c r="D2" s="187"/>
      <c r="E2" s="187"/>
      <c r="F2" s="187"/>
      <c r="G2" s="187"/>
      <c r="H2" s="187"/>
      <c r="I2" s="187"/>
      <c r="J2" s="412"/>
      <c r="K2" s="425"/>
      <c r="L2" s="425"/>
      <c r="M2" s="187"/>
      <c r="N2" s="187"/>
      <c r="O2" s="436"/>
      <c r="P2" s="187"/>
      <c r="Q2" s="187"/>
      <c r="R2" s="187"/>
      <c r="S2" s="436"/>
      <c r="T2" s="686" t="s">
        <v>27</v>
      </c>
      <c r="U2" s="425"/>
      <c r="V2" s="187"/>
      <c r="W2" s="425"/>
      <c r="X2" s="686"/>
      <c r="Y2" s="436"/>
      <c r="Z2" s="187"/>
      <c r="AA2" s="436"/>
      <c r="AB2" s="187"/>
      <c r="AC2" s="187"/>
      <c r="AD2" s="187"/>
      <c r="AE2" s="643"/>
      <c r="AF2" s="643"/>
      <c r="AG2" s="644"/>
      <c r="AH2" s="979"/>
      <c r="AI2" s="979"/>
      <c r="AJ2" s="979"/>
      <c r="AK2" s="436"/>
      <c r="AL2" s="187"/>
      <c r="AM2" s="187"/>
      <c r="AN2" s="425"/>
      <c r="AO2" s="425"/>
      <c r="AP2" s="187"/>
      <c r="AQ2" s="187"/>
      <c r="AR2" s="436"/>
      <c r="AS2" s="187"/>
      <c r="AT2" s="187"/>
      <c r="AU2" s="187"/>
      <c r="AV2" s="436"/>
      <c r="AW2" s="187"/>
      <c r="AX2" s="187"/>
      <c r="AY2" s="425"/>
      <c r="AZ2" s="425"/>
      <c r="BA2" s="187"/>
      <c r="BB2" s="187"/>
      <c r="BC2" s="436"/>
      <c r="BD2" s="187"/>
      <c r="BE2" s="187"/>
      <c r="BF2" s="187"/>
    </row>
    <row r="3" spans="1:58" s="191" customFormat="1" ht="13.5">
      <c r="A3" s="32"/>
      <c r="B3" s="590" t="s">
        <v>28</v>
      </c>
      <c r="C3" s="138"/>
      <c r="D3" s="138"/>
      <c r="E3" s="138"/>
      <c r="F3" s="138"/>
      <c r="G3" s="138"/>
      <c r="H3" s="138"/>
      <c r="I3" s="138"/>
      <c r="J3" s="413"/>
      <c r="K3" s="360"/>
      <c r="L3" s="360"/>
      <c r="M3" s="138"/>
      <c r="N3" s="138"/>
      <c r="O3" s="440"/>
      <c r="P3" s="138"/>
      <c r="Q3" s="138"/>
      <c r="R3" s="138"/>
      <c r="S3" s="435"/>
      <c r="T3" s="360"/>
      <c r="U3" s="360"/>
      <c r="V3" s="138"/>
      <c r="W3" s="360"/>
      <c r="X3" s="360"/>
      <c r="Y3" s="138"/>
      <c r="Z3" s="138"/>
      <c r="AA3" s="440"/>
      <c r="AB3" s="138"/>
      <c r="AC3" s="138"/>
      <c r="AD3" s="138"/>
      <c r="AE3" s="438"/>
      <c r="AF3" s="190"/>
      <c r="AG3" s="190"/>
      <c r="AH3" s="190"/>
      <c r="AI3" s="138"/>
      <c r="AJ3" s="190"/>
      <c r="AK3" s="435"/>
      <c r="AL3" s="138"/>
      <c r="AM3" s="138"/>
      <c r="AN3" s="360"/>
      <c r="AO3" s="360"/>
      <c r="AP3" s="138"/>
      <c r="AQ3" s="138"/>
      <c r="AR3" s="440"/>
      <c r="AS3" s="138"/>
      <c r="AT3" s="138"/>
      <c r="AU3" s="138"/>
      <c r="AV3" s="435"/>
      <c r="AW3" s="138"/>
      <c r="AX3" s="138"/>
      <c r="AY3" s="360"/>
      <c r="AZ3" s="360"/>
      <c r="BA3" s="138"/>
      <c r="BB3" s="138"/>
      <c r="BC3" s="440"/>
      <c r="BD3" s="138"/>
      <c r="BE3" s="138"/>
      <c r="BF3" s="138"/>
    </row>
    <row r="4" spans="1:58" s="191" customFormat="1" ht="22.5" customHeight="1">
      <c r="A4" s="32"/>
      <c r="B4" s="593"/>
      <c r="C4" s="138"/>
      <c r="D4" s="138"/>
      <c r="E4" s="138"/>
      <c r="F4" s="138"/>
      <c r="G4" s="138"/>
      <c r="H4" s="138"/>
      <c r="I4" s="138"/>
      <c r="J4" s="413"/>
      <c r="K4" s="360"/>
      <c r="L4" s="360"/>
      <c r="M4" s="138"/>
      <c r="N4" s="138"/>
      <c r="O4" s="440"/>
      <c r="P4" s="138"/>
      <c r="Q4" s="138"/>
      <c r="R4" s="439" t="s">
        <v>216</v>
      </c>
      <c r="S4" s="435"/>
      <c r="T4" s="360"/>
      <c r="U4" s="360"/>
      <c r="V4" s="138"/>
      <c r="W4" s="360"/>
      <c r="X4" s="360"/>
      <c r="Y4" s="138"/>
      <c r="Z4" s="138"/>
      <c r="AA4" s="440"/>
      <c r="AB4" s="138"/>
      <c r="AC4" s="138"/>
      <c r="AD4" s="439" t="s">
        <v>216</v>
      </c>
      <c r="AE4" s="438"/>
      <c r="AF4" s="190"/>
      <c r="AG4" s="190"/>
      <c r="AH4" s="190"/>
      <c r="AI4" s="138"/>
      <c r="AJ4" s="329"/>
      <c r="AK4" s="435"/>
      <c r="AL4" s="138"/>
      <c r="AM4" s="138"/>
      <c r="AN4" s="360"/>
      <c r="AO4" s="360"/>
      <c r="AP4" s="138"/>
      <c r="AQ4" s="138"/>
      <c r="AR4" s="440"/>
      <c r="AS4" s="138"/>
      <c r="AT4" s="138"/>
      <c r="AU4" s="439" t="s">
        <v>216</v>
      </c>
      <c r="AV4" s="435"/>
      <c r="AW4" s="138"/>
      <c r="AX4" s="138"/>
      <c r="AY4" s="360"/>
      <c r="AZ4" s="360"/>
      <c r="BA4" s="138"/>
      <c r="BB4" s="138"/>
      <c r="BC4" s="440"/>
      <c r="BD4" s="138"/>
      <c r="BE4" s="138"/>
      <c r="BF4" s="439" t="s">
        <v>216</v>
      </c>
    </row>
    <row r="5" spans="1:58" ht="22.5" customHeight="1">
      <c r="A5" s="260"/>
      <c r="B5" s="594"/>
      <c r="C5" s="444"/>
      <c r="D5" s="445"/>
      <c r="E5" s="445"/>
      <c r="F5" s="445"/>
      <c r="G5" s="445"/>
      <c r="H5" s="445"/>
      <c r="I5" s="445"/>
      <c r="J5" s="445" t="s">
        <v>452</v>
      </c>
      <c r="K5" s="445"/>
      <c r="L5" s="445"/>
      <c r="M5" s="445"/>
      <c r="N5" s="445"/>
      <c r="O5" s="445"/>
      <c r="P5" s="445"/>
      <c r="Q5" s="445"/>
      <c r="R5" s="445"/>
      <c r="S5" s="446"/>
      <c r="T5" s="446"/>
      <c r="U5" s="446"/>
      <c r="V5" s="446"/>
      <c r="W5" s="456"/>
      <c r="X5" s="456" t="s">
        <v>451</v>
      </c>
      <c r="Y5" s="456"/>
      <c r="Z5" s="456"/>
      <c r="AA5" s="456"/>
      <c r="AB5" s="456"/>
      <c r="AC5" s="456"/>
      <c r="AD5" s="447"/>
      <c r="AE5" s="972" t="s">
        <v>217</v>
      </c>
      <c r="AF5" s="961"/>
      <c r="AG5" s="961"/>
      <c r="AH5" s="961"/>
      <c r="AI5" s="961"/>
      <c r="AJ5" s="962"/>
      <c r="AK5" s="446"/>
      <c r="AL5" s="446"/>
      <c r="AM5" s="446"/>
      <c r="AN5" s="456"/>
      <c r="AO5" s="456" t="s">
        <v>471</v>
      </c>
      <c r="AP5" s="456"/>
      <c r="AQ5" s="456"/>
      <c r="AR5" s="456"/>
      <c r="AS5" s="456"/>
      <c r="AT5" s="456"/>
      <c r="AU5" s="447"/>
      <c r="AV5" s="446"/>
      <c r="AW5" s="446"/>
      <c r="AX5" s="446"/>
      <c r="AY5" s="456"/>
      <c r="AZ5" s="456" t="s">
        <v>502</v>
      </c>
      <c r="BA5" s="456"/>
      <c r="BB5" s="456"/>
      <c r="BC5" s="456"/>
      <c r="BD5" s="456"/>
      <c r="BE5" s="456"/>
      <c r="BF5" s="447"/>
    </row>
    <row r="6" spans="1:58" ht="141" thickBot="1">
      <c r="A6" s="457" t="s">
        <v>111</v>
      </c>
      <c r="B6" s="459" t="s">
        <v>254</v>
      </c>
      <c r="C6" s="63" t="s">
        <v>212</v>
      </c>
      <c r="D6" s="63" t="s">
        <v>220</v>
      </c>
      <c r="E6" s="63" t="s">
        <v>292</v>
      </c>
      <c r="F6" s="63" t="s">
        <v>347</v>
      </c>
      <c r="G6" s="63" t="s">
        <v>346</v>
      </c>
      <c r="H6" s="63" t="s">
        <v>283</v>
      </c>
      <c r="I6" s="497" t="s">
        <v>424</v>
      </c>
      <c r="J6" s="458" t="s">
        <v>313</v>
      </c>
      <c r="K6" s="497" t="s">
        <v>349</v>
      </c>
      <c r="L6" s="497" t="s">
        <v>348</v>
      </c>
      <c r="M6" s="63" t="s">
        <v>345</v>
      </c>
      <c r="N6" s="506" t="s">
        <v>350</v>
      </c>
      <c r="O6" s="507" t="s">
        <v>352</v>
      </c>
      <c r="P6" s="388" t="s">
        <v>223</v>
      </c>
      <c r="Q6" s="293" t="s">
        <v>528</v>
      </c>
      <c r="R6" s="460" t="s">
        <v>255</v>
      </c>
      <c r="S6" s="461" t="s">
        <v>212</v>
      </c>
      <c r="T6" s="63" t="s">
        <v>347</v>
      </c>
      <c r="U6" s="459" t="s">
        <v>283</v>
      </c>
      <c r="V6" s="508" t="s">
        <v>351</v>
      </c>
      <c r="W6" s="508" t="s">
        <v>349</v>
      </c>
      <c r="X6" s="508" t="s">
        <v>348</v>
      </c>
      <c r="Y6" s="63" t="s">
        <v>345</v>
      </c>
      <c r="Z6" s="506" t="s">
        <v>350</v>
      </c>
      <c r="AA6" s="507" t="s">
        <v>352</v>
      </c>
      <c r="AB6" s="388" t="s">
        <v>223</v>
      </c>
      <c r="AC6" s="293" t="s">
        <v>528</v>
      </c>
      <c r="AD6" s="460" t="s">
        <v>255</v>
      </c>
      <c r="AE6" s="462" t="s">
        <v>212</v>
      </c>
      <c r="AF6" s="506" t="s">
        <v>294</v>
      </c>
      <c r="AG6" s="507" t="s">
        <v>344</v>
      </c>
      <c r="AH6" s="506" t="s">
        <v>223</v>
      </c>
      <c r="AI6" s="506" t="s">
        <v>528</v>
      </c>
      <c r="AJ6" s="506" t="s">
        <v>255</v>
      </c>
      <c r="AK6" s="461" t="s">
        <v>212</v>
      </c>
      <c r="AL6" s="508" t="s">
        <v>464</v>
      </c>
      <c r="AM6" s="508" t="s">
        <v>465</v>
      </c>
      <c r="AN6" s="508" t="s">
        <v>349</v>
      </c>
      <c r="AO6" s="508" t="s">
        <v>348</v>
      </c>
      <c r="AP6" s="63" t="s">
        <v>345</v>
      </c>
      <c r="AQ6" s="506" t="s">
        <v>466</v>
      </c>
      <c r="AR6" s="507" t="s">
        <v>352</v>
      </c>
      <c r="AS6" s="388" t="s">
        <v>223</v>
      </c>
      <c r="AT6" s="293" t="s">
        <v>528</v>
      </c>
      <c r="AU6" s="460" t="s">
        <v>255</v>
      </c>
      <c r="AV6" s="461" t="s">
        <v>212</v>
      </c>
      <c r="AW6" s="508" t="s">
        <v>464</v>
      </c>
      <c r="AX6" s="508" t="s">
        <v>465</v>
      </c>
      <c r="AY6" s="508" t="s">
        <v>349</v>
      </c>
      <c r="AZ6" s="508" t="s">
        <v>348</v>
      </c>
      <c r="BA6" s="63" t="s">
        <v>345</v>
      </c>
      <c r="BB6" s="506" t="s">
        <v>466</v>
      </c>
      <c r="BC6" s="507" t="s">
        <v>352</v>
      </c>
      <c r="BD6" s="388" t="s">
        <v>223</v>
      </c>
      <c r="BE6" s="293" t="s">
        <v>528</v>
      </c>
      <c r="BF6" s="460" t="s">
        <v>255</v>
      </c>
    </row>
    <row r="7" spans="1:58" ht="14.25" thickBot="1">
      <c r="A7" s="463">
        <v>1</v>
      </c>
      <c r="B7" s="595">
        <v>2</v>
      </c>
      <c r="C7" s="464">
        <v>3</v>
      </c>
      <c r="D7" s="464">
        <v>4</v>
      </c>
      <c r="E7" s="464">
        <v>5</v>
      </c>
      <c r="F7" s="464">
        <v>6</v>
      </c>
      <c r="G7" s="464">
        <v>7</v>
      </c>
      <c r="H7" s="464">
        <v>8</v>
      </c>
      <c r="I7" s="498">
        <v>9</v>
      </c>
      <c r="J7" s="464">
        <v>10</v>
      </c>
      <c r="K7" s="498">
        <v>11</v>
      </c>
      <c r="L7" s="498">
        <v>12</v>
      </c>
      <c r="M7" s="464">
        <v>13</v>
      </c>
      <c r="N7" s="498">
        <v>14</v>
      </c>
      <c r="O7" s="498">
        <v>15</v>
      </c>
      <c r="P7" s="464">
        <v>16</v>
      </c>
      <c r="Q7" s="464"/>
      <c r="R7" s="464">
        <v>17</v>
      </c>
      <c r="S7" s="464">
        <v>18</v>
      </c>
      <c r="T7" s="464">
        <v>19</v>
      </c>
      <c r="U7" s="464">
        <v>20</v>
      </c>
      <c r="V7" s="498">
        <v>21</v>
      </c>
      <c r="W7" s="498">
        <v>22</v>
      </c>
      <c r="X7" s="498">
        <v>23</v>
      </c>
      <c r="Y7" s="464">
        <v>24</v>
      </c>
      <c r="Z7" s="498">
        <v>25</v>
      </c>
      <c r="AA7" s="498">
        <v>26</v>
      </c>
      <c r="AB7" s="464">
        <v>27</v>
      </c>
      <c r="AC7" s="464"/>
      <c r="AD7" s="464">
        <v>28</v>
      </c>
      <c r="AE7" s="464">
        <v>29</v>
      </c>
      <c r="AF7" s="498">
        <v>30</v>
      </c>
      <c r="AG7" s="498">
        <v>31</v>
      </c>
      <c r="AH7" s="498">
        <v>32</v>
      </c>
      <c r="AI7" s="498"/>
      <c r="AJ7" s="498">
        <v>33</v>
      </c>
      <c r="AK7" s="464">
        <v>34</v>
      </c>
      <c r="AL7" s="498">
        <v>35</v>
      </c>
      <c r="AM7" s="498">
        <v>36</v>
      </c>
      <c r="AN7" s="498">
        <v>37</v>
      </c>
      <c r="AO7" s="498">
        <v>38</v>
      </c>
      <c r="AP7" s="464">
        <v>39</v>
      </c>
      <c r="AQ7" s="498">
        <v>40</v>
      </c>
      <c r="AR7" s="498">
        <v>41</v>
      </c>
      <c r="AS7" s="464">
        <v>42</v>
      </c>
      <c r="AT7" s="464"/>
      <c r="AU7" s="464">
        <v>43</v>
      </c>
      <c r="AV7" s="464">
        <v>44</v>
      </c>
      <c r="AW7" s="498">
        <v>45</v>
      </c>
      <c r="AX7" s="498">
        <v>46</v>
      </c>
      <c r="AY7" s="498">
        <v>47</v>
      </c>
      <c r="AZ7" s="498">
        <v>48</v>
      </c>
      <c r="BA7" s="464">
        <v>49</v>
      </c>
      <c r="BB7" s="498">
        <v>50</v>
      </c>
      <c r="BC7" s="498">
        <v>51</v>
      </c>
      <c r="BD7" s="464">
        <v>52</v>
      </c>
      <c r="BE7" s="645"/>
      <c r="BF7" s="611">
        <v>53</v>
      </c>
    </row>
    <row r="8" spans="1:58" ht="16.5">
      <c r="A8" s="243"/>
      <c r="B8" s="596" t="s">
        <v>257</v>
      </c>
      <c r="C8" s="243"/>
      <c r="D8" s="243"/>
      <c r="E8" s="243"/>
      <c r="F8" s="243"/>
      <c r="G8" s="243"/>
      <c r="H8" s="243"/>
      <c r="I8" s="499"/>
      <c r="J8" s="414"/>
      <c r="K8" s="499"/>
      <c r="L8" s="499"/>
      <c r="M8" s="243"/>
      <c r="N8" s="499"/>
      <c r="O8" s="499"/>
      <c r="P8" s="243"/>
      <c r="Q8" s="243"/>
      <c r="R8" s="450"/>
      <c r="S8" s="428"/>
      <c r="T8" s="337"/>
      <c r="U8" s="337"/>
      <c r="V8" s="499"/>
      <c r="W8" s="499"/>
      <c r="X8" s="499"/>
      <c r="Y8" s="243"/>
      <c r="Z8" s="499"/>
      <c r="AA8" s="499"/>
      <c r="AB8" s="243"/>
      <c r="AC8" s="243"/>
      <c r="AD8" s="450"/>
      <c r="AE8" s="428"/>
      <c r="AF8" s="499"/>
      <c r="AG8" s="499"/>
      <c r="AH8" s="499"/>
      <c r="AI8" s="499"/>
      <c r="AJ8" s="499"/>
      <c r="AK8" s="428"/>
      <c r="AL8" s="499"/>
      <c r="AM8" s="499"/>
      <c r="AN8" s="499"/>
      <c r="AO8" s="499"/>
      <c r="AP8" s="243"/>
      <c r="AQ8" s="499"/>
      <c r="AR8" s="499"/>
      <c r="AS8" s="243"/>
      <c r="AT8" s="243"/>
      <c r="AU8" s="450"/>
      <c r="AV8" s="428"/>
      <c r="AW8" s="499"/>
      <c r="AX8" s="499"/>
      <c r="AY8" s="499"/>
      <c r="AZ8" s="499"/>
      <c r="BA8" s="243"/>
      <c r="BB8" s="499"/>
      <c r="BC8" s="499"/>
      <c r="BD8" s="243"/>
      <c r="BE8" s="243"/>
      <c r="BF8" s="450"/>
    </row>
    <row r="9" spans="1:58" ht="14.25">
      <c r="A9" s="104"/>
      <c r="B9" s="335" t="s">
        <v>193</v>
      </c>
      <c r="C9" s="104"/>
      <c r="D9" s="104"/>
      <c r="E9" s="104"/>
      <c r="F9" s="278"/>
      <c r="G9" s="104"/>
      <c r="H9" s="104"/>
      <c r="I9" s="500"/>
      <c r="J9" s="415"/>
      <c r="K9" s="500"/>
      <c r="L9" s="500"/>
      <c r="M9" s="104"/>
      <c r="N9" s="500"/>
      <c r="O9" s="500"/>
      <c r="P9" s="104"/>
      <c r="Q9" s="104"/>
      <c r="R9" s="451"/>
      <c r="S9" s="441"/>
      <c r="T9" s="296"/>
      <c r="U9" s="296"/>
      <c r="V9" s="500"/>
      <c r="W9" s="500"/>
      <c r="X9" s="500"/>
      <c r="Y9" s="104"/>
      <c r="Z9" s="500"/>
      <c r="AA9" s="500"/>
      <c r="AB9" s="104"/>
      <c r="AC9" s="104"/>
      <c r="AD9" s="451"/>
      <c r="AE9" s="441"/>
      <c r="AF9" s="510"/>
      <c r="AG9" s="511"/>
      <c r="AH9" s="511"/>
      <c r="AI9" s="511"/>
      <c r="AJ9" s="511"/>
      <c r="AK9" s="441"/>
      <c r="AL9" s="510"/>
      <c r="AM9" s="500"/>
      <c r="AN9" s="500"/>
      <c r="AO9" s="500"/>
      <c r="AP9" s="104"/>
      <c r="AQ9" s="500"/>
      <c r="AR9" s="500"/>
      <c r="AS9" s="104"/>
      <c r="AT9" s="104"/>
      <c r="AU9" s="451"/>
      <c r="AV9" s="441"/>
      <c r="AW9" s="510"/>
      <c r="AX9" s="500"/>
      <c r="AY9" s="500"/>
      <c r="AZ9" s="500"/>
      <c r="BA9" s="104"/>
      <c r="BB9" s="500"/>
      <c r="BC9" s="500"/>
      <c r="BD9" s="104"/>
      <c r="BE9" s="104"/>
      <c r="BF9" s="451"/>
    </row>
    <row r="10" spans="1:58" ht="13.5">
      <c r="A10" s="127"/>
      <c r="B10" s="591" t="s">
        <v>418</v>
      </c>
      <c r="C10" s="243"/>
      <c r="D10" s="127"/>
      <c r="E10" s="243"/>
      <c r="F10" s="243"/>
      <c r="G10" s="243"/>
      <c r="H10" s="243"/>
      <c r="I10" s="499"/>
      <c r="J10" s="414"/>
      <c r="K10" s="499"/>
      <c r="L10" s="499"/>
      <c r="M10" s="243"/>
      <c r="N10" s="499"/>
      <c r="O10" s="499"/>
      <c r="P10" s="243"/>
      <c r="Q10" s="243"/>
      <c r="R10" s="450"/>
      <c r="S10" s="428"/>
      <c r="T10" s="337"/>
      <c r="U10" s="337"/>
      <c r="V10" s="499"/>
      <c r="W10" s="499"/>
      <c r="X10" s="499"/>
      <c r="Y10" s="243"/>
      <c r="Z10" s="499"/>
      <c r="AA10" s="499"/>
      <c r="AB10" s="243"/>
      <c r="AC10" s="243"/>
      <c r="AD10" s="450"/>
      <c r="AE10" s="428"/>
      <c r="AF10" s="499"/>
      <c r="AG10" s="512"/>
      <c r="AH10" s="499"/>
      <c r="AI10" s="499"/>
      <c r="AJ10" s="499"/>
      <c r="AK10" s="428"/>
      <c r="AL10" s="499"/>
      <c r="AM10" s="499"/>
      <c r="AN10" s="499"/>
      <c r="AO10" s="499"/>
      <c r="AP10" s="243"/>
      <c r="AQ10" s="499"/>
      <c r="AR10" s="499"/>
      <c r="AS10" s="243"/>
      <c r="AT10" s="243"/>
      <c r="AU10" s="450"/>
      <c r="AV10" s="428"/>
      <c r="AW10" s="499"/>
      <c r="AX10" s="499"/>
      <c r="AY10" s="499"/>
      <c r="AZ10" s="499"/>
      <c r="BA10" s="243"/>
      <c r="BB10" s="499"/>
      <c r="BC10" s="499"/>
      <c r="BD10" s="243"/>
      <c r="BE10" s="243"/>
      <c r="BF10" s="450"/>
    </row>
    <row r="11" spans="1:58" ht="14.25">
      <c r="A11" s="104"/>
      <c r="B11" s="335" t="s">
        <v>193</v>
      </c>
      <c r="C11" s="104"/>
      <c r="D11" s="104"/>
      <c r="E11" s="104"/>
      <c r="F11" s="278"/>
      <c r="G11" s="104"/>
      <c r="H11" s="104"/>
      <c r="I11" s="500"/>
      <c r="J11" s="415"/>
      <c r="K11" s="500"/>
      <c r="L11" s="500"/>
      <c r="M11" s="104"/>
      <c r="N11" s="500"/>
      <c r="O11" s="500"/>
      <c r="P11" s="104"/>
      <c r="Q11" s="104"/>
      <c r="R11" s="451"/>
      <c r="S11" s="441"/>
      <c r="T11" s="296"/>
      <c r="U11" s="296"/>
      <c r="V11" s="500"/>
      <c r="W11" s="500"/>
      <c r="X11" s="500"/>
      <c r="Y11" s="104"/>
      <c r="Z11" s="500"/>
      <c r="AA11" s="500"/>
      <c r="AB11" s="104"/>
      <c r="AC11" s="104"/>
      <c r="AD11" s="451"/>
      <c r="AE11" s="441"/>
      <c r="AF11" s="510"/>
      <c r="AG11" s="511"/>
      <c r="AH11" s="511"/>
      <c r="AI11" s="511"/>
      <c r="AJ11" s="511"/>
      <c r="AK11" s="441"/>
      <c r="AL11" s="510"/>
      <c r="AM11" s="500"/>
      <c r="AN11" s="500"/>
      <c r="AO11" s="500"/>
      <c r="AP11" s="104"/>
      <c r="AQ11" s="500"/>
      <c r="AR11" s="500"/>
      <c r="AS11" s="104"/>
      <c r="AT11" s="104"/>
      <c r="AU11" s="451"/>
      <c r="AV11" s="441"/>
      <c r="AW11" s="510"/>
      <c r="AX11" s="500"/>
      <c r="AY11" s="500"/>
      <c r="AZ11" s="500"/>
      <c r="BA11" s="104"/>
      <c r="BB11" s="500"/>
      <c r="BC11" s="500"/>
      <c r="BD11" s="104"/>
      <c r="BE11" s="104"/>
      <c r="BF11" s="451"/>
    </row>
    <row r="12" spans="1:58" ht="13.5">
      <c r="A12" s="127">
        <v>1</v>
      </c>
      <c r="B12" s="337"/>
      <c r="C12" s="232"/>
      <c r="D12" s="232"/>
      <c r="E12" s="31"/>
      <c r="F12" s="232"/>
      <c r="G12" s="31"/>
      <c r="H12" s="31"/>
      <c r="I12" s="501">
        <f>+$H12*66140</f>
        <v>0</v>
      </c>
      <c r="J12" s="433"/>
      <c r="K12" s="501">
        <f>+I12*0.02*F12</f>
        <v>0</v>
      </c>
      <c r="L12" s="501">
        <f>I12*$G12/100</f>
        <v>0</v>
      </c>
      <c r="M12" s="432"/>
      <c r="N12" s="501">
        <f>IF((K12+L12+M12)&gt;(I12*0.3),I12*0.3,K12+L12+M12)</f>
        <v>0</v>
      </c>
      <c r="O12" s="501">
        <f>IF(J12&gt;N12,J12,N12)+IF(N12=0,I12*0.15,0)</f>
        <v>0</v>
      </c>
      <c r="P12" s="432"/>
      <c r="Q12" s="432"/>
      <c r="R12" s="452">
        <f>I12+O12+P12+Q12</f>
        <v>0</v>
      </c>
      <c r="S12" s="441"/>
      <c r="T12" s="434"/>
      <c r="U12" s="434"/>
      <c r="V12" s="501">
        <f>+U12*66140</f>
        <v>0</v>
      </c>
      <c r="W12" s="509">
        <f>+V12*0.02*T12</f>
        <v>0</v>
      </c>
      <c r="X12" s="509">
        <f>V12*$G12/100</f>
        <v>0</v>
      </c>
      <c r="Y12" s="432"/>
      <c r="Z12" s="501">
        <f>IF((W12+X12+Y12)&gt;(V12*0.3),V12*0.3,W12+X12+Y12)</f>
        <v>0</v>
      </c>
      <c r="AA12" s="501">
        <f>IF($J12&gt;Z12,$J12,Z12)+IF(Z12=0,V12*0.15,0)</f>
        <v>0</v>
      </c>
      <c r="AB12" s="432"/>
      <c r="AC12" s="432"/>
      <c r="AD12" s="452">
        <f>V12+AA12+AB12+AC12</f>
        <v>0</v>
      </c>
      <c r="AE12" s="429">
        <f>+C12-S12</f>
        <v>0</v>
      </c>
      <c r="AF12" s="502">
        <f>+I12-V12</f>
        <v>0</v>
      </c>
      <c r="AG12" s="502">
        <f>+O12-AA12</f>
        <v>0</v>
      </c>
      <c r="AH12" s="502">
        <f>+P12-AB12</f>
        <v>0</v>
      </c>
      <c r="AI12" s="502">
        <f>+AC12-Q12</f>
        <v>0</v>
      </c>
      <c r="AJ12" s="502">
        <f>+R12-AD12</f>
        <v>0</v>
      </c>
      <c r="AK12" s="441"/>
      <c r="AL12" s="612">
        <f>+F12+1</f>
        <v>1</v>
      </c>
      <c r="AM12" s="501">
        <f>+$H12*66140</f>
        <v>0</v>
      </c>
      <c r="AN12" s="509">
        <f>+AM12*0.02*AL12</f>
        <v>0</v>
      </c>
      <c r="AO12" s="509">
        <f>AM12*$G12/100</f>
        <v>0</v>
      </c>
      <c r="AP12" s="432"/>
      <c r="AQ12" s="501">
        <f>IF((AN12+AO12+AP12)&gt;(AM12*0.3),AM12*0.3,AN12+AO12+AP12)</f>
        <v>0</v>
      </c>
      <c r="AR12" s="501">
        <f>IF($J12&gt;AQ12,$J12,AQ12)+IF(AQ12=0,AM12*0.15,0)</f>
        <v>0</v>
      </c>
      <c r="AS12" s="432"/>
      <c r="AT12" s="432"/>
      <c r="AU12" s="452">
        <f>AM12+AR12+AS12+AT12</f>
        <v>0</v>
      </c>
      <c r="AV12" s="441"/>
      <c r="AW12" s="612">
        <f>+AL12+1</f>
        <v>2</v>
      </c>
      <c r="AX12" s="501">
        <f>+$H12*66140</f>
        <v>0</v>
      </c>
      <c r="AY12" s="509">
        <f>+AX12*0.02*AW12</f>
        <v>0</v>
      </c>
      <c r="AZ12" s="509">
        <f>AX12*$G12/100</f>
        <v>0</v>
      </c>
      <c r="BA12" s="432"/>
      <c r="BB12" s="501">
        <f>IF((AY12+AZ12+BA12)&gt;(AX12*0.3),AX12*0.3,AY12+AZ12+BA12)</f>
        <v>0</v>
      </c>
      <c r="BC12" s="501">
        <f>IF($J12&gt;BB12,$J12,BB12)+IF(BB12=0,AX12*0.15,0)</f>
        <v>0</v>
      </c>
      <c r="BD12" s="432"/>
      <c r="BE12" s="432"/>
      <c r="BF12" s="452">
        <f>AX12+BC12+BD12+BE12</f>
        <v>0</v>
      </c>
    </row>
    <row r="13" spans="1:58" ht="13.5">
      <c r="A13" s="127">
        <v>2</v>
      </c>
      <c r="B13" s="337"/>
      <c r="C13" s="232"/>
      <c r="D13" s="232"/>
      <c r="E13" s="31"/>
      <c r="F13" s="232"/>
      <c r="G13" s="31"/>
      <c r="H13" s="31"/>
      <c r="I13" s="501">
        <f>+$H13*66140</f>
        <v>0</v>
      </c>
      <c r="J13" s="433"/>
      <c r="K13" s="501">
        <f>+I13*0.02*F13</f>
        <v>0</v>
      </c>
      <c r="L13" s="501">
        <f>I13*$G13/100</f>
        <v>0</v>
      </c>
      <c r="M13" s="432"/>
      <c r="N13" s="501">
        <f>IF((K13+L13+M13)&gt;(I13*0.3),I13*0.3,K13+L13+M13)</f>
        <v>0</v>
      </c>
      <c r="O13" s="501">
        <f>IF(J13&gt;N13,J13,N13)+IF(N13=0,I13*0.15,0)</f>
        <v>0</v>
      </c>
      <c r="P13" s="432"/>
      <c r="Q13" s="432"/>
      <c r="R13" s="452">
        <f>I13+O13+P13+Q13</f>
        <v>0</v>
      </c>
      <c r="S13" s="441"/>
      <c r="T13" s="434"/>
      <c r="U13" s="434"/>
      <c r="V13" s="501">
        <f>+U13*66140</f>
        <v>0</v>
      </c>
      <c r="W13" s="509">
        <f>+V13*0.02*T13</f>
        <v>0</v>
      </c>
      <c r="X13" s="509">
        <f>V13*$G13/100</f>
        <v>0</v>
      </c>
      <c r="Y13" s="432"/>
      <c r="Z13" s="501">
        <f>IF((W13+X13+Y13)&gt;(V13*0.3),V13*0.3,W13+X13+Y13)</f>
        <v>0</v>
      </c>
      <c r="AA13" s="501">
        <f>IF($J13&gt;Z13,$J13,Z13)+IF(Z13=0,V13*0.15,0)</f>
        <v>0</v>
      </c>
      <c r="AB13" s="432"/>
      <c r="AC13" s="432"/>
      <c r="AD13" s="452">
        <f>V13+AA13+AB13+AC13</f>
        <v>0</v>
      </c>
      <c r="AE13" s="429">
        <f aca="true" t="shared" si="0" ref="AE13:AE28">+C13-S13</f>
        <v>0</v>
      </c>
      <c r="AF13" s="502">
        <f aca="true" t="shared" si="1" ref="AF13:AF28">+I13-V13</f>
        <v>0</v>
      </c>
      <c r="AG13" s="502">
        <f aca="true" t="shared" si="2" ref="AG13:AG28">+O13-AA13</f>
        <v>0</v>
      </c>
      <c r="AH13" s="502">
        <f aca="true" t="shared" si="3" ref="AH13:AH28">+P13-AB13</f>
        <v>0</v>
      </c>
      <c r="AI13" s="502">
        <f>+AC13-Q13</f>
        <v>0</v>
      </c>
      <c r="AJ13" s="502">
        <f aca="true" t="shared" si="4" ref="AJ13:AJ28">+R13-AD13</f>
        <v>0</v>
      </c>
      <c r="AK13" s="441"/>
      <c r="AL13" s="612">
        <f>+F13+1</f>
        <v>1</v>
      </c>
      <c r="AM13" s="501">
        <f>+$H13*66140</f>
        <v>0</v>
      </c>
      <c r="AN13" s="509">
        <f>+AM13*0.02*AL13</f>
        <v>0</v>
      </c>
      <c r="AO13" s="509">
        <f>AM13*$G13/100</f>
        <v>0</v>
      </c>
      <c r="AP13" s="432"/>
      <c r="AQ13" s="501">
        <f>IF((AN13+AO13+AP13)&gt;(AM13*0.3),AM13*0.3,AN13+AO13+AP13)</f>
        <v>0</v>
      </c>
      <c r="AR13" s="501">
        <f>IF($J13&gt;AQ13,$J13,AQ13)+IF(AQ13=0,AM13*0.15,0)</f>
        <v>0</v>
      </c>
      <c r="AS13" s="432"/>
      <c r="AT13" s="432"/>
      <c r="AU13" s="452">
        <f>AM13+AR13+AS13+AT13</f>
        <v>0</v>
      </c>
      <c r="AV13" s="441"/>
      <c r="AW13" s="612">
        <f>+AL13+1</f>
        <v>2</v>
      </c>
      <c r="AX13" s="501">
        <f>+$H13*66140</f>
        <v>0</v>
      </c>
      <c r="AY13" s="509">
        <f>+AX13*0.02*AW13</f>
        <v>0</v>
      </c>
      <c r="AZ13" s="509">
        <f>AX13*$G13/100</f>
        <v>0</v>
      </c>
      <c r="BA13" s="432"/>
      <c r="BB13" s="501">
        <f>IF((AY13+AZ13+BA13)&gt;(AX13*0.3),AX13*0.3,AY13+AZ13+BA13)</f>
        <v>0</v>
      </c>
      <c r="BC13" s="501">
        <f>IF($J13&gt;BB13,$J13,BB13)+IF(BB13=0,AX13*0.15,0)</f>
        <v>0</v>
      </c>
      <c r="BD13" s="432"/>
      <c r="BE13" s="432"/>
      <c r="BF13" s="452">
        <f>AX13+BC13+BD13+BE13</f>
        <v>0</v>
      </c>
    </row>
    <row r="14" spans="1:58" ht="13.5">
      <c r="A14" s="127">
        <v>3</v>
      </c>
      <c r="B14" s="337"/>
      <c r="C14" s="232"/>
      <c r="D14" s="232"/>
      <c r="E14" s="31"/>
      <c r="F14" s="232"/>
      <c r="G14" s="31"/>
      <c r="H14" s="31"/>
      <c r="I14" s="501">
        <f>+$H14*66140</f>
        <v>0</v>
      </c>
      <c r="J14" s="433"/>
      <c r="K14" s="501">
        <f>+I14*0.02*F14</f>
        <v>0</v>
      </c>
      <c r="L14" s="501">
        <f>I14*$G14/100</f>
        <v>0</v>
      </c>
      <c r="M14" s="432"/>
      <c r="N14" s="501">
        <f>IF((K14+L14+M14)&gt;(I14*0.3),I14*0.3,K14+L14+M14)</f>
        <v>0</v>
      </c>
      <c r="O14" s="501">
        <f>IF(J14&gt;N14,J14,N14)+IF(N14=0,I14*0.15,0)</f>
        <v>0</v>
      </c>
      <c r="P14" s="432"/>
      <c r="Q14" s="432"/>
      <c r="R14" s="452">
        <f>I14+O14+P14+Q14</f>
        <v>0</v>
      </c>
      <c r="S14" s="441"/>
      <c r="T14" s="434"/>
      <c r="U14" s="434"/>
      <c r="V14" s="501">
        <f>+U14*66140</f>
        <v>0</v>
      </c>
      <c r="W14" s="509">
        <f>+V14*0.02*T14</f>
        <v>0</v>
      </c>
      <c r="X14" s="509">
        <f>V14*$G14/100</f>
        <v>0</v>
      </c>
      <c r="Y14" s="432"/>
      <c r="Z14" s="501">
        <f>IF((W14+X14+Y14)&gt;(V14*0.3),V14*0.3,W14+X14+Y14)</f>
        <v>0</v>
      </c>
      <c r="AA14" s="501">
        <f>IF($J14&gt;Z14,$J14,Z14)+IF(Z14=0,V14*0.15,0)</f>
        <v>0</v>
      </c>
      <c r="AB14" s="432"/>
      <c r="AC14" s="432"/>
      <c r="AD14" s="452">
        <f>V14+AA14+AB14+AC14</f>
        <v>0</v>
      </c>
      <c r="AE14" s="429">
        <f t="shared" si="0"/>
        <v>0</v>
      </c>
      <c r="AF14" s="502">
        <f t="shared" si="1"/>
        <v>0</v>
      </c>
      <c r="AG14" s="502">
        <f t="shared" si="2"/>
        <v>0</v>
      </c>
      <c r="AH14" s="502">
        <f t="shared" si="3"/>
        <v>0</v>
      </c>
      <c r="AI14" s="502">
        <f>+AC14-Q14</f>
        <v>0</v>
      </c>
      <c r="AJ14" s="502">
        <f t="shared" si="4"/>
        <v>0</v>
      </c>
      <c r="AK14" s="441"/>
      <c r="AL14" s="612">
        <f>+F14+1</f>
        <v>1</v>
      </c>
      <c r="AM14" s="501">
        <f>+$H14*66140</f>
        <v>0</v>
      </c>
      <c r="AN14" s="509">
        <f>+AM14*0.02*AL14</f>
        <v>0</v>
      </c>
      <c r="AO14" s="509">
        <f>AM14*$G14/100</f>
        <v>0</v>
      </c>
      <c r="AP14" s="432"/>
      <c r="AQ14" s="501">
        <f>IF((AN14+AO14+AP14)&gt;(AM14*0.3),AM14*0.3,AN14+AO14+AP14)</f>
        <v>0</v>
      </c>
      <c r="AR14" s="501">
        <f>IF($J14&gt;AQ14,$J14,AQ14)+IF(AQ14=0,AM14*0.15,0)</f>
        <v>0</v>
      </c>
      <c r="AS14" s="432"/>
      <c r="AT14" s="432"/>
      <c r="AU14" s="452">
        <f>AM14+AR14+AS14+AT14</f>
        <v>0</v>
      </c>
      <c r="AV14" s="441"/>
      <c r="AW14" s="612">
        <f>+AL14+1</f>
        <v>2</v>
      </c>
      <c r="AX14" s="501">
        <f>+$H14*66140</f>
        <v>0</v>
      </c>
      <c r="AY14" s="509">
        <f>+AX14*0.02*AW14</f>
        <v>0</v>
      </c>
      <c r="AZ14" s="509">
        <f>AX14*$G14/100</f>
        <v>0</v>
      </c>
      <c r="BA14" s="432"/>
      <c r="BB14" s="501">
        <f>IF((AY14+AZ14+BA14)&gt;(AX14*0.3),AX14*0.3,AY14+AZ14+BA14)</f>
        <v>0</v>
      </c>
      <c r="BC14" s="501">
        <f>IF($J14&gt;BB14,$J14,BB14)+IF(BB14=0,AX14*0.15,0)</f>
        <v>0</v>
      </c>
      <c r="BD14" s="432"/>
      <c r="BE14" s="432"/>
      <c r="BF14" s="452">
        <f>AX14+BC14+BD14+BE14</f>
        <v>0</v>
      </c>
    </row>
    <row r="15" spans="1:58" ht="13.5">
      <c r="A15" s="127"/>
      <c r="B15" s="337"/>
      <c r="C15" s="232"/>
      <c r="D15" s="232"/>
      <c r="E15" s="31"/>
      <c r="F15" s="232"/>
      <c r="G15" s="31"/>
      <c r="H15" s="31"/>
      <c r="I15" s="501">
        <f>+$H15*66140</f>
        <v>0</v>
      </c>
      <c r="J15" s="433"/>
      <c r="K15" s="501">
        <f>+I15*0.02*F15</f>
        <v>0</v>
      </c>
      <c r="L15" s="501">
        <f>I15*$G15/100</f>
        <v>0</v>
      </c>
      <c r="M15" s="432"/>
      <c r="N15" s="501">
        <f>IF((K15+L15+M15)&gt;(I15*0.3),I15*0.3,K15+L15+M15)</f>
        <v>0</v>
      </c>
      <c r="O15" s="501">
        <f>IF(J15&gt;N15,J15,N15)+IF(N15=0,I15*0.15,0)</f>
        <v>0</v>
      </c>
      <c r="P15" s="432"/>
      <c r="Q15" s="432"/>
      <c r="R15" s="452">
        <f>I15+O15+P15+Q15</f>
        <v>0</v>
      </c>
      <c r="S15" s="441"/>
      <c r="T15" s="434"/>
      <c r="U15" s="434"/>
      <c r="V15" s="501">
        <f>+U15*66140</f>
        <v>0</v>
      </c>
      <c r="W15" s="509">
        <f>+V15*0.02*T15</f>
        <v>0</v>
      </c>
      <c r="X15" s="509">
        <f>V15*$G15/100</f>
        <v>0</v>
      </c>
      <c r="Y15" s="432"/>
      <c r="Z15" s="501">
        <f>IF((W15+X15+Y15)&gt;(V15*0.3),V15*0.3,W15+X15+Y15)</f>
        <v>0</v>
      </c>
      <c r="AA15" s="501">
        <f>IF($J15&gt;Z15,$J15,Z15)+IF(Z15=0,V15*0.15,0)</f>
        <v>0</v>
      </c>
      <c r="AB15" s="432"/>
      <c r="AC15" s="432"/>
      <c r="AD15" s="452">
        <f>V15+AA15+AB15+AC15</f>
        <v>0</v>
      </c>
      <c r="AE15" s="429">
        <f t="shared" si="0"/>
        <v>0</v>
      </c>
      <c r="AF15" s="502">
        <f t="shared" si="1"/>
        <v>0</v>
      </c>
      <c r="AG15" s="502">
        <f t="shared" si="2"/>
        <v>0</v>
      </c>
      <c r="AH15" s="502">
        <f t="shared" si="3"/>
        <v>0</v>
      </c>
      <c r="AI15" s="502">
        <f>+AC15-Q15</f>
        <v>0</v>
      </c>
      <c r="AJ15" s="502">
        <f t="shared" si="4"/>
        <v>0</v>
      </c>
      <c r="AK15" s="441"/>
      <c r="AL15" s="612">
        <f>+F15+1</f>
        <v>1</v>
      </c>
      <c r="AM15" s="501">
        <f>+$H15*66140</f>
        <v>0</v>
      </c>
      <c r="AN15" s="509">
        <f>+AM15*0.02*AL15</f>
        <v>0</v>
      </c>
      <c r="AO15" s="509">
        <f>AM15*$G15/100</f>
        <v>0</v>
      </c>
      <c r="AP15" s="432"/>
      <c r="AQ15" s="501">
        <f>IF((AN15+AO15+AP15)&gt;(AM15*0.3),AM15*0.3,AN15+AO15+AP15)</f>
        <v>0</v>
      </c>
      <c r="AR15" s="501">
        <f>IF($J15&gt;AQ15,$J15,AQ15)+IF(AQ15=0,AM15*0.15,0)</f>
        <v>0</v>
      </c>
      <c r="AS15" s="432"/>
      <c r="AT15" s="432"/>
      <c r="AU15" s="452">
        <f>AM15+AR15+AS15+AT15</f>
        <v>0</v>
      </c>
      <c r="AV15" s="441"/>
      <c r="AW15" s="612">
        <f>+AL15+1</f>
        <v>2</v>
      </c>
      <c r="AX15" s="501">
        <f>+$H15*66140</f>
        <v>0</v>
      </c>
      <c r="AY15" s="509">
        <f>+AX15*0.02*AW15</f>
        <v>0</v>
      </c>
      <c r="AZ15" s="509">
        <f>AX15*$G15/100</f>
        <v>0</v>
      </c>
      <c r="BA15" s="432"/>
      <c r="BB15" s="501">
        <f>IF((AY15+AZ15+BA15)&gt;(AX15*0.3),AX15*0.3,AY15+AZ15+BA15)</f>
        <v>0</v>
      </c>
      <c r="BC15" s="501">
        <f>IF($J15&gt;BB15,$J15,BB15)+IF(BB15=0,AX15*0.15,0)</f>
        <v>0</v>
      </c>
      <c r="BD15" s="432"/>
      <c r="BE15" s="432"/>
      <c r="BF15" s="452">
        <f>AX15+BC15+BD15+BE15</f>
        <v>0</v>
      </c>
    </row>
    <row r="16" spans="1:58" s="281" customFormat="1" ht="13.5">
      <c r="A16" s="278"/>
      <c r="B16" s="338" t="s">
        <v>263</v>
      </c>
      <c r="C16" s="280">
        <f>SUM(C12:C14)</f>
        <v>0</v>
      </c>
      <c r="D16" s="280" t="s">
        <v>1</v>
      </c>
      <c r="E16" s="280" t="s">
        <v>1</v>
      </c>
      <c r="F16" s="280" t="s">
        <v>1</v>
      </c>
      <c r="G16" s="280" t="s">
        <v>1</v>
      </c>
      <c r="H16" s="280" t="s">
        <v>1</v>
      </c>
      <c r="I16" s="502">
        <f aca="true" t="shared" si="5" ref="I16:AC16">SUM(I12:I14)</f>
        <v>0</v>
      </c>
      <c r="J16" s="417">
        <f t="shared" si="5"/>
        <v>0</v>
      </c>
      <c r="K16" s="502">
        <f t="shared" si="5"/>
        <v>0</v>
      </c>
      <c r="L16" s="502">
        <f t="shared" si="5"/>
        <v>0</v>
      </c>
      <c r="M16" s="280">
        <f>SUM(M12:M14)</f>
        <v>0</v>
      </c>
      <c r="N16" s="502">
        <f t="shared" si="5"/>
        <v>0</v>
      </c>
      <c r="O16" s="502">
        <f t="shared" si="5"/>
        <v>0</v>
      </c>
      <c r="P16" s="280">
        <f t="shared" si="5"/>
        <v>0</v>
      </c>
      <c r="Q16" s="280">
        <f t="shared" si="5"/>
        <v>0</v>
      </c>
      <c r="R16" s="453">
        <f t="shared" si="5"/>
        <v>0</v>
      </c>
      <c r="S16" s="429">
        <f t="shared" si="5"/>
        <v>0</v>
      </c>
      <c r="T16" s="426" t="s">
        <v>1</v>
      </c>
      <c r="U16" s="426" t="s">
        <v>1</v>
      </c>
      <c r="V16" s="502">
        <f t="shared" si="5"/>
        <v>0</v>
      </c>
      <c r="W16" s="502">
        <f t="shared" si="5"/>
        <v>0</v>
      </c>
      <c r="X16" s="502">
        <f t="shared" si="5"/>
        <v>0</v>
      </c>
      <c r="Y16" s="280">
        <f t="shared" si="5"/>
        <v>0</v>
      </c>
      <c r="Z16" s="502">
        <f t="shared" si="5"/>
        <v>0</v>
      </c>
      <c r="AA16" s="502">
        <f t="shared" si="5"/>
        <v>0</v>
      </c>
      <c r="AB16" s="280">
        <f t="shared" si="5"/>
        <v>0</v>
      </c>
      <c r="AC16" s="280">
        <f t="shared" si="5"/>
        <v>0</v>
      </c>
      <c r="AD16" s="453">
        <f aca="true" t="shared" si="6" ref="AD16:AK16">SUM(AD12:AD14)</f>
        <v>0</v>
      </c>
      <c r="AE16" s="429">
        <f t="shared" si="6"/>
        <v>0</v>
      </c>
      <c r="AF16" s="502">
        <f t="shared" si="6"/>
        <v>0</v>
      </c>
      <c r="AG16" s="502">
        <f t="shared" si="6"/>
        <v>0</v>
      </c>
      <c r="AH16" s="502">
        <f t="shared" si="6"/>
        <v>0</v>
      </c>
      <c r="AI16" s="502">
        <f t="shared" si="6"/>
        <v>0</v>
      </c>
      <c r="AJ16" s="502">
        <f t="shared" si="6"/>
        <v>0</v>
      </c>
      <c r="AK16" s="429">
        <f t="shared" si="6"/>
        <v>0</v>
      </c>
      <c r="AL16" s="502" t="s">
        <v>1</v>
      </c>
      <c r="AM16" s="502">
        <f aca="true" t="shared" si="7" ref="AM16:AV16">SUM(AM12:AM14)</f>
        <v>0</v>
      </c>
      <c r="AN16" s="502">
        <f t="shared" si="7"/>
        <v>0</v>
      </c>
      <c r="AO16" s="502">
        <f t="shared" si="7"/>
        <v>0</v>
      </c>
      <c r="AP16" s="280">
        <f t="shared" si="7"/>
        <v>0</v>
      </c>
      <c r="AQ16" s="502">
        <f t="shared" si="7"/>
        <v>0</v>
      </c>
      <c r="AR16" s="502">
        <f t="shared" si="7"/>
        <v>0</v>
      </c>
      <c r="AS16" s="280">
        <f t="shared" si="7"/>
        <v>0</v>
      </c>
      <c r="AT16" s="280">
        <f t="shared" si="7"/>
        <v>0</v>
      </c>
      <c r="AU16" s="453">
        <f t="shared" si="7"/>
        <v>0</v>
      </c>
      <c r="AV16" s="429">
        <f t="shared" si="7"/>
        <v>0</v>
      </c>
      <c r="AW16" s="502" t="s">
        <v>1</v>
      </c>
      <c r="AX16" s="502">
        <f aca="true" t="shared" si="8" ref="AX16:BF16">SUM(AX12:AX14)</f>
        <v>0</v>
      </c>
      <c r="AY16" s="502">
        <f t="shared" si="8"/>
        <v>0</v>
      </c>
      <c r="AZ16" s="502">
        <f t="shared" si="8"/>
        <v>0</v>
      </c>
      <c r="BA16" s="280">
        <f t="shared" si="8"/>
        <v>0</v>
      </c>
      <c r="BB16" s="502">
        <f t="shared" si="8"/>
        <v>0</v>
      </c>
      <c r="BC16" s="502">
        <f t="shared" si="8"/>
        <v>0</v>
      </c>
      <c r="BD16" s="280">
        <f t="shared" si="8"/>
        <v>0</v>
      </c>
      <c r="BE16" s="280">
        <f t="shared" si="8"/>
        <v>0</v>
      </c>
      <c r="BF16" s="453">
        <f t="shared" si="8"/>
        <v>0</v>
      </c>
    </row>
    <row r="17" spans="1:58" ht="13.5">
      <c r="A17" s="127"/>
      <c r="B17" s="337"/>
      <c r="C17" s="243"/>
      <c r="D17" s="127"/>
      <c r="E17" s="243"/>
      <c r="F17" s="243"/>
      <c r="G17" s="243"/>
      <c r="H17" s="243"/>
      <c r="I17" s="499"/>
      <c r="J17" s="414"/>
      <c r="K17" s="499"/>
      <c r="L17" s="499"/>
      <c r="M17" s="243"/>
      <c r="N17" s="499"/>
      <c r="O17" s="499"/>
      <c r="P17" s="243"/>
      <c r="Q17" s="243"/>
      <c r="R17" s="450"/>
      <c r="S17" s="428"/>
      <c r="T17" s="337"/>
      <c r="U17" s="337"/>
      <c r="V17" s="499"/>
      <c r="W17" s="499"/>
      <c r="X17" s="499"/>
      <c r="Y17" s="243"/>
      <c r="Z17" s="499"/>
      <c r="AA17" s="499"/>
      <c r="AB17" s="243"/>
      <c r="AC17" s="243"/>
      <c r="AD17" s="450"/>
      <c r="AE17" s="429"/>
      <c r="AF17" s="502"/>
      <c r="AG17" s="502"/>
      <c r="AH17" s="502"/>
      <c r="AI17" s="502"/>
      <c r="AJ17" s="502"/>
      <c r="AK17" s="428"/>
      <c r="AL17" s="499"/>
      <c r="AM17" s="499"/>
      <c r="AN17" s="499"/>
      <c r="AO17" s="499"/>
      <c r="AP17" s="243"/>
      <c r="AQ17" s="499"/>
      <c r="AR17" s="499"/>
      <c r="AS17" s="243"/>
      <c r="AT17" s="243"/>
      <c r="AU17" s="450"/>
      <c r="AV17" s="428"/>
      <c r="AW17" s="499"/>
      <c r="AX17" s="499"/>
      <c r="AY17" s="499"/>
      <c r="AZ17" s="499"/>
      <c r="BA17" s="243"/>
      <c r="BB17" s="499"/>
      <c r="BC17" s="499"/>
      <c r="BD17" s="243"/>
      <c r="BE17" s="243"/>
      <c r="BF17" s="450"/>
    </row>
    <row r="18" spans="1:58" s="5" customFormat="1" ht="13.5">
      <c r="A18" s="232"/>
      <c r="B18" s="335" t="s">
        <v>226</v>
      </c>
      <c r="C18" s="246"/>
      <c r="D18" s="246"/>
      <c r="E18" s="246"/>
      <c r="F18" s="207"/>
      <c r="G18" s="246"/>
      <c r="H18" s="246"/>
      <c r="I18" s="503"/>
      <c r="J18" s="410"/>
      <c r="K18" s="503"/>
      <c r="L18" s="503"/>
      <c r="M18" s="246"/>
      <c r="N18" s="503"/>
      <c r="O18" s="503"/>
      <c r="P18" s="246"/>
      <c r="Q18" s="246"/>
      <c r="R18" s="454"/>
      <c r="S18" s="430"/>
      <c r="T18" s="321"/>
      <c r="U18" s="321"/>
      <c r="V18" s="503"/>
      <c r="W18" s="503"/>
      <c r="X18" s="503"/>
      <c r="Y18" s="246"/>
      <c r="Z18" s="503"/>
      <c r="AA18" s="503"/>
      <c r="AB18" s="246"/>
      <c r="AC18" s="246"/>
      <c r="AD18" s="454"/>
      <c r="AE18" s="429"/>
      <c r="AF18" s="502"/>
      <c r="AG18" s="502"/>
      <c r="AH18" s="502"/>
      <c r="AI18" s="502"/>
      <c r="AJ18" s="502"/>
      <c r="AK18" s="430"/>
      <c r="AL18" s="613"/>
      <c r="AM18" s="503"/>
      <c r="AN18" s="503"/>
      <c r="AO18" s="503"/>
      <c r="AP18" s="246"/>
      <c r="AQ18" s="503"/>
      <c r="AR18" s="503"/>
      <c r="AS18" s="246"/>
      <c r="AT18" s="246"/>
      <c r="AU18" s="454"/>
      <c r="AV18" s="430"/>
      <c r="AW18" s="613"/>
      <c r="AX18" s="503"/>
      <c r="AY18" s="503"/>
      <c r="AZ18" s="503"/>
      <c r="BA18" s="246"/>
      <c r="BB18" s="503"/>
      <c r="BC18" s="503"/>
      <c r="BD18" s="246"/>
      <c r="BE18" s="246"/>
      <c r="BF18" s="454"/>
    </row>
    <row r="19" spans="1:58" s="5" customFormat="1" ht="13.5">
      <c r="A19" s="232"/>
      <c r="B19" s="335" t="s">
        <v>227</v>
      </c>
      <c r="C19" s="246"/>
      <c r="D19" s="246"/>
      <c r="E19" s="246"/>
      <c r="F19" s="207"/>
      <c r="G19" s="246"/>
      <c r="H19" s="246"/>
      <c r="I19" s="503"/>
      <c r="J19" s="410"/>
      <c r="K19" s="503"/>
      <c r="L19" s="503"/>
      <c r="M19" s="246"/>
      <c r="N19" s="503"/>
      <c r="O19" s="503"/>
      <c r="P19" s="246"/>
      <c r="Q19" s="246"/>
      <c r="R19" s="454"/>
      <c r="S19" s="430"/>
      <c r="T19" s="321"/>
      <c r="U19" s="321"/>
      <c r="V19" s="503"/>
      <c r="W19" s="503"/>
      <c r="X19" s="503"/>
      <c r="Y19" s="246"/>
      <c r="Z19" s="503"/>
      <c r="AA19" s="503"/>
      <c r="AB19" s="246"/>
      <c r="AC19" s="246"/>
      <c r="AD19" s="454"/>
      <c r="AE19" s="429"/>
      <c r="AF19" s="502"/>
      <c r="AG19" s="502"/>
      <c r="AH19" s="502"/>
      <c r="AI19" s="502"/>
      <c r="AJ19" s="502"/>
      <c r="AK19" s="430"/>
      <c r="AL19" s="613"/>
      <c r="AM19" s="503"/>
      <c r="AN19" s="503"/>
      <c r="AO19" s="503"/>
      <c r="AP19" s="246"/>
      <c r="AQ19" s="503"/>
      <c r="AR19" s="503"/>
      <c r="AS19" s="246"/>
      <c r="AT19" s="246"/>
      <c r="AU19" s="454"/>
      <c r="AV19" s="430"/>
      <c r="AW19" s="613"/>
      <c r="AX19" s="503"/>
      <c r="AY19" s="503"/>
      <c r="AZ19" s="503"/>
      <c r="BA19" s="246"/>
      <c r="BB19" s="503"/>
      <c r="BC19" s="503"/>
      <c r="BD19" s="246"/>
      <c r="BE19" s="246"/>
      <c r="BF19" s="454"/>
    </row>
    <row r="20" spans="1:58" ht="13.5">
      <c r="A20" s="104">
        <v>1</v>
      </c>
      <c r="B20" s="296"/>
      <c r="C20" s="232"/>
      <c r="D20" s="232"/>
      <c r="E20" s="31"/>
      <c r="F20" s="278"/>
      <c r="G20" s="31"/>
      <c r="H20" s="31"/>
      <c r="I20" s="504">
        <f>+$H20*66140</f>
        <v>0</v>
      </c>
      <c r="J20" s="416"/>
      <c r="K20" s="504">
        <f>+I20*0.02*F20</f>
        <v>0</v>
      </c>
      <c r="L20" s="504">
        <f>I20*$G20/100</f>
        <v>0</v>
      </c>
      <c r="M20" s="31"/>
      <c r="N20" s="504">
        <f>IF((K20+L20+M20)&gt;(I20*0.3),I20*0.3,K20+L20+M20)</f>
        <v>0</v>
      </c>
      <c r="O20" s="504">
        <f>IF(J20&gt;N20,J20,N20)+IF(N20=0,I20*0.15,0)</f>
        <v>0</v>
      </c>
      <c r="P20" s="31"/>
      <c r="Q20" s="31"/>
      <c r="R20" s="452">
        <f>I20+O20+P20+Q20</f>
        <v>0</v>
      </c>
      <c r="S20" s="441"/>
      <c r="T20" s="27"/>
      <c r="U20" s="27"/>
      <c r="V20" s="504">
        <f>+U20*66140</f>
        <v>0</v>
      </c>
      <c r="W20" s="504">
        <f>+V20*0.02*T20</f>
        <v>0</v>
      </c>
      <c r="X20" s="504">
        <f>V20*$G20/100</f>
        <v>0</v>
      </c>
      <c r="Y20" s="31"/>
      <c r="Z20" s="504">
        <f>IF((W20+X20+Y20)&gt;(V20*0.3),V20*0.3,W20+X20+Y20)</f>
        <v>0</v>
      </c>
      <c r="AA20" s="504">
        <f>IF($J20&gt;Z20,$J20,Z20)+IF(Z20=0,V20*0.15,0)</f>
        <v>0</v>
      </c>
      <c r="AB20" s="31"/>
      <c r="AC20" s="31"/>
      <c r="AD20" s="452">
        <f>V20+AA20+AB20+AC20</f>
        <v>0</v>
      </c>
      <c r="AE20" s="429">
        <f t="shared" si="0"/>
        <v>0</v>
      </c>
      <c r="AF20" s="502">
        <f t="shared" si="1"/>
        <v>0</v>
      </c>
      <c r="AG20" s="502">
        <f t="shared" si="2"/>
        <v>0</v>
      </c>
      <c r="AH20" s="502">
        <f t="shared" si="3"/>
        <v>0</v>
      </c>
      <c r="AI20" s="502">
        <f>+AC20-Q20</f>
        <v>0</v>
      </c>
      <c r="AJ20" s="502">
        <f t="shared" si="4"/>
        <v>0</v>
      </c>
      <c r="AK20" s="441"/>
      <c r="AL20" s="510">
        <f>+F20+1</f>
        <v>1</v>
      </c>
      <c r="AM20" s="504">
        <f>+$H20*66140</f>
        <v>0</v>
      </c>
      <c r="AN20" s="504">
        <f>+AM20*0.02*AL20</f>
        <v>0</v>
      </c>
      <c r="AO20" s="504">
        <f>AM20*$G20/100</f>
        <v>0</v>
      </c>
      <c r="AP20" s="31"/>
      <c r="AQ20" s="504">
        <f>IF((AN20+AO20+AP20)&gt;(AM20*0.3),AM20*0.3,AN20+AO20+AP20)</f>
        <v>0</v>
      </c>
      <c r="AR20" s="504">
        <f>IF($J20&gt;AQ20,$J20,AQ20)+IF(AQ20=0,AM20*0.15,0)</f>
        <v>0</v>
      </c>
      <c r="AS20" s="31"/>
      <c r="AT20" s="31"/>
      <c r="AU20" s="452">
        <f>AM20+AR20+AS20+AT20</f>
        <v>0</v>
      </c>
      <c r="AV20" s="441"/>
      <c r="AW20" s="510">
        <f>+AL20+1</f>
        <v>2</v>
      </c>
      <c r="AX20" s="504">
        <f>+$H20*66140</f>
        <v>0</v>
      </c>
      <c r="AY20" s="504">
        <f>+AX20*0.02*AW20</f>
        <v>0</v>
      </c>
      <c r="AZ20" s="504">
        <f>AX20*$G20/100</f>
        <v>0</v>
      </c>
      <c r="BA20" s="31"/>
      <c r="BB20" s="504">
        <f>IF((AY20+AZ20+BA20)&gt;(AX20*0.3),AX20*0.3,AY20+AZ20+BA20)</f>
        <v>0</v>
      </c>
      <c r="BC20" s="504">
        <f>IF($J20&gt;BB20,$J20,BB20)+IF(BB20=0,AX20*0.15,0)</f>
        <v>0</v>
      </c>
      <c r="BD20" s="31"/>
      <c r="BE20" s="31"/>
      <c r="BF20" s="452">
        <f>AX20+BC20+BD20+BE20</f>
        <v>0</v>
      </c>
    </row>
    <row r="21" spans="1:58" ht="13.5">
      <c r="A21" s="104">
        <v>2</v>
      </c>
      <c r="B21" s="296"/>
      <c r="C21" s="31"/>
      <c r="D21" s="31"/>
      <c r="E21" s="31"/>
      <c r="F21" s="278"/>
      <c r="G21" s="31"/>
      <c r="H21" s="31"/>
      <c r="I21" s="504">
        <f>+$H21*66140</f>
        <v>0</v>
      </c>
      <c r="J21" s="416"/>
      <c r="K21" s="504">
        <f>+I21*0.02*F21</f>
        <v>0</v>
      </c>
      <c r="L21" s="504">
        <f>I21*$G21/100</f>
        <v>0</v>
      </c>
      <c r="M21" s="31"/>
      <c r="N21" s="504">
        <f>IF((K21+L21+M21)&gt;(I21*0.3),I21*0.3,K21+L21+M21)</f>
        <v>0</v>
      </c>
      <c r="O21" s="504">
        <f>IF(J21&gt;N21,J21,N21)+IF(N21=0,I21*0.15,0)</f>
        <v>0</v>
      </c>
      <c r="P21" s="31"/>
      <c r="Q21" s="31"/>
      <c r="R21" s="452">
        <f>I21+O21+P21+Q21</f>
        <v>0</v>
      </c>
      <c r="S21" s="441"/>
      <c r="T21" s="27"/>
      <c r="U21" s="27"/>
      <c r="V21" s="504">
        <f>+U21*66140</f>
        <v>0</v>
      </c>
      <c r="W21" s="504">
        <f>+V21*0.02*T21</f>
        <v>0</v>
      </c>
      <c r="X21" s="504">
        <f>V21*$G21/100</f>
        <v>0</v>
      </c>
      <c r="Y21" s="31"/>
      <c r="Z21" s="504">
        <f>IF((W21+X21+Y21)&gt;(V21*0.3),V21*0.3,W21+X21+Y21)</f>
        <v>0</v>
      </c>
      <c r="AA21" s="504">
        <f>IF($J21&gt;Z21,$J21,Z21)+IF(Z21=0,V21*0.15,0)</f>
        <v>0</v>
      </c>
      <c r="AB21" s="31"/>
      <c r="AC21" s="31"/>
      <c r="AD21" s="452">
        <f>V21+AA21+AB21+AC21</f>
        <v>0</v>
      </c>
      <c r="AE21" s="429">
        <f t="shared" si="0"/>
        <v>0</v>
      </c>
      <c r="AF21" s="502">
        <f t="shared" si="1"/>
        <v>0</v>
      </c>
      <c r="AG21" s="502">
        <f t="shared" si="2"/>
        <v>0</v>
      </c>
      <c r="AH21" s="502">
        <f t="shared" si="3"/>
        <v>0</v>
      </c>
      <c r="AI21" s="502">
        <f>+AC21-Q21</f>
        <v>0</v>
      </c>
      <c r="AJ21" s="502">
        <f t="shared" si="4"/>
        <v>0</v>
      </c>
      <c r="AK21" s="441"/>
      <c r="AL21" s="510">
        <f>+F21+1</f>
        <v>1</v>
      </c>
      <c r="AM21" s="504">
        <f>+$H21*66140</f>
        <v>0</v>
      </c>
      <c r="AN21" s="504">
        <f>+AM21*0.02*AL21</f>
        <v>0</v>
      </c>
      <c r="AO21" s="504">
        <f>AM21*$G21/100</f>
        <v>0</v>
      </c>
      <c r="AP21" s="31"/>
      <c r="AQ21" s="504">
        <f>IF((AN21+AO21+AP21)&gt;(AM21*0.3),AM21*0.3,AN21+AO21+AP21)</f>
        <v>0</v>
      </c>
      <c r="AR21" s="504">
        <f>IF($J21&gt;AQ21,$J21,AQ21)+IF(AQ21=0,AM21*0.15,0)</f>
        <v>0</v>
      </c>
      <c r="AS21" s="31"/>
      <c r="AT21" s="31"/>
      <c r="AU21" s="452">
        <f>AM21+AR21+AS21+AT21</f>
        <v>0</v>
      </c>
      <c r="AV21" s="441"/>
      <c r="AW21" s="510">
        <f>+AL21+1</f>
        <v>2</v>
      </c>
      <c r="AX21" s="504">
        <f>+$H21*66140</f>
        <v>0</v>
      </c>
      <c r="AY21" s="504">
        <f>+AX21*0.02*AW21</f>
        <v>0</v>
      </c>
      <c r="AZ21" s="504">
        <f>AX21*$G21/100</f>
        <v>0</v>
      </c>
      <c r="BA21" s="31"/>
      <c r="BB21" s="504">
        <f>IF((AY21+AZ21+BA21)&gt;(AX21*0.3),AX21*0.3,AY21+AZ21+BA21)</f>
        <v>0</v>
      </c>
      <c r="BC21" s="504">
        <f>IF($J21&gt;BB21,$J21,BB21)+IF(BB21=0,AX21*0.15,0)</f>
        <v>0</v>
      </c>
      <c r="BD21" s="31"/>
      <c r="BE21" s="31"/>
      <c r="BF21" s="452">
        <f>AX21+BC21+BD21+BE21</f>
        <v>0</v>
      </c>
    </row>
    <row r="22" spans="1:58" ht="13.5">
      <c r="A22" s="104">
        <v>3</v>
      </c>
      <c r="B22" s="296"/>
      <c r="C22" s="104"/>
      <c r="D22" s="104"/>
      <c r="E22" s="104"/>
      <c r="F22" s="278"/>
      <c r="G22" s="104"/>
      <c r="H22" s="104"/>
      <c r="I22" s="504">
        <f>+$H22*66140</f>
        <v>0</v>
      </c>
      <c r="J22" s="416"/>
      <c r="K22" s="504">
        <f>+I22*0.02*F22</f>
        <v>0</v>
      </c>
      <c r="L22" s="504">
        <f>I22*$G22/100</f>
        <v>0</v>
      </c>
      <c r="M22" s="31"/>
      <c r="N22" s="504">
        <f>IF((K22+L22+M22)&gt;(I22*0.3),I22*0.3,K22+L22+M22)</f>
        <v>0</v>
      </c>
      <c r="O22" s="504">
        <f>IF(J22&gt;N22,J22,N22)+IF(N22=0,I22*0.15,0)</f>
        <v>0</v>
      </c>
      <c r="P22" s="31"/>
      <c r="Q22" s="31"/>
      <c r="R22" s="452">
        <f>I22+O22+P22+Q22</f>
        <v>0</v>
      </c>
      <c r="S22" s="441"/>
      <c r="T22" s="296"/>
      <c r="U22" s="296"/>
      <c r="V22" s="504">
        <f>+U22*66140</f>
        <v>0</v>
      </c>
      <c r="W22" s="504">
        <f>+V22*0.02*T22</f>
        <v>0</v>
      </c>
      <c r="X22" s="504">
        <f>V22*$G22/100</f>
        <v>0</v>
      </c>
      <c r="Y22" s="31"/>
      <c r="Z22" s="504">
        <f>IF((W22+X22+Y22)&gt;(V22*0.3),V22*0.3,W22+X22+Y22)</f>
        <v>0</v>
      </c>
      <c r="AA22" s="504">
        <f>IF($J22&gt;Z22,$J22,Z22)+IF(Z22=0,V22*0.15,0)</f>
        <v>0</v>
      </c>
      <c r="AB22" s="31"/>
      <c r="AC22" s="31"/>
      <c r="AD22" s="452">
        <f>V22+AA22+AB22+AC22</f>
        <v>0</v>
      </c>
      <c r="AE22" s="429">
        <f t="shared" si="0"/>
        <v>0</v>
      </c>
      <c r="AF22" s="502">
        <f t="shared" si="1"/>
        <v>0</v>
      </c>
      <c r="AG22" s="502">
        <f t="shared" si="2"/>
        <v>0</v>
      </c>
      <c r="AH22" s="502">
        <f t="shared" si="3"/>
        <v>0</v>
      </c>
      <c r="AI22" s="502">
        <f>+AC22-Q22</f>
        <v>0</v>
      </c>
      <c r="AJ22" s="502">
        <f t="shared" si="4"/>
        <v>0</v>
      </c>
      <c r="AK22" s="441"/>
      <c r="AL22" s="510">
        <f>+F22+1</f>
        <v>1</v>
      </c>
      <c r="AM22" s="504">
        <f>+$H22*66140</f>
        <v>0</v>
      </c>
      <c r="AN22" s="504">
        <f>+AM22*0.02*AL22</f>
        <v>0</v>
      </c>
      <c r="AO22" s="504">
        <f>AM22*$G22/100</f>
        <v>0</v>
      </c>
      <c r="AP22" s="31"/>
      <c r="AQ22" s="504">
        <f>IF((AN22+AO22+AP22)&gt;(AM22*0.3),AM22*0.3,AN22+AO22+AP22)</f>
        <v>0</v>
      </c>
      <c r="AR22" s="504">
        <f>IF($J22&gt;AQ22,$J22,AQ22)+IF(AQ22=0,AM22*0.15,0)</f>
        <v>0</v>
      </c>
      <c r="AS22" s="31"/>
      <c r="AT22" s="31"/>
      <c r="AU22" s="452">
        <f>AM22+AR22+AS22+AT22</f>
        <v>0</v>
      </c>
      <c r="AV22" s="441"/>
      <c r="AW22" s="510">
        <f>+AL22+1</f>
        <v>2</v>
      </c>
      <c r="AX22" s="504">
        <f>+$H22*66140</f>
        <v>0</v>
      </c>
      <c r="AY22" s="504">
        <f>+AX22*0.02*AW22</f>
        <v>0</v>
      </c>
      <c r="AZ22" s="504">
        <f>AX22*$G22/100</f>
        <v>0</v>
      </c>
      <c r="BA22" s="31"/>
      <c r="BB22" s="504">
        <f>IF((AY22+AZ22+BA22)&gt;(AX22*0.3),AX22*0.3,AY22+AZ22+BA22)</f>
        <v>0</v>
      </c>
      <c r="BC22" s="504">
        <f>IF($J22&gt;BB22,$J22,BB22)+IF(BB22=0,AX22*0.15,0)</f>
        <v>0</v>
      </c>
      <c r="BD22" s="31"/>
      <c r="BE22" s="31"/>
      <c r="BF22" s="452">
        <f>AX22+BC22+BD22+BE22</f>
        <v>0</v>
      </c>
    </row>
    <row r="23" spans="1:58" s="281" customFormat="1" ht="27">
      <c r="A23" s="278"/>
      <c r="B23" s="338" t="s">
        <v>228</v>
      </c>
      <c r="C23" s="280">
        <f>SUM(C20:C22)</f>
        <v>0</v>
      </c>
      <c r="D23" s="280" t="s">
        <v>1</v>
      </c>
      <c r="E23" s="280" t="s">
        <v>1</v>
      </c>
      <c r="F23" s="280" t="s">
        <v>1</v>
      </c>
      <c r="G23" s="280" t="s">
        <v>1</v>
      </c>
      <c r="H23" s="280" t="s">
        <v>1</v>
      </c>
      <c r="I23" s="502">
        <f aca="true" t="shared" si="9" ref="I23:S23">SUM(I20:I22)</f>
        <v>0</v>
      </c>
      <c r="J23" s="417">
        <f t="shared" si="9"/>
        <v>0</v>
      </c>
      <c r="K23" s="502">
        <f t="shared" si="9"/>
        <v>0</v>
      </c>
      <c r="L23" s="502">
        <f t="shared" si="9"/>
        <v>0</v>
      </c>
      <c r="M23" s="280">
        <f t="shared" si="9"/>
        <v>0</v>
      </c>
      <c r="N23" s="502">
        <f t="shared" si="9"/>
        <v>0</v>
      </c>
      <c r="O23" s="502">
        <f t="shared" si="9"/>
        <v>0</v>
      </c>
      <c r="P23" s="280">
        <f t="shared" si="9"/>
        <v>0</v>
      </c>
      <c r="Q23" s="280">
        <f t="shared" si="9"/>
        <v>0</v>
      </c>
      <c r="R23" s="453">
        <f t="shared" si="9"/>
        <v>0</v>
      </c>
      <c r="S23" s="429">
        <f t="shared" si="9"/>
        <v>0</v>
      </c>
      <c r="T23" s="426" t="s">
        <v>1</v>
      </c>
      <c r="U23" s="426" t="s">
        <v>1</v>
      </c>
      <c r="V23" s="502">
        <f aca="true" t="shared" si="10" ref="V23:AC23">SUM(V20:V22)</f>
        <v>0</v>
      </c>
      <c r="W23" s="502">
        <f t="shared" si="10"/>
        <v>0</v>
      </c>
      <c r="X23" s="502">
        <f t="shared" si="10"/>
        <v>0</v>
      </c>
      <c r="Y23" s="280">
        <f t="shared" si="10"/>
        <v>0</v>
      </c>
      <c r="Z23" s="502">
        <f t="shared" si="10"/>
        <v>0</v>
      </c>
      <c r="AA23" s="502">
        <f t="shared" si="10"/>
        <v>0</v>
      </c>
      <c r="AB23" s="280">
        <f t="shared" si="10"/>
        <v>0</v>
      </c>
      <c r="AC23" s="280">
        <f t="shared" si="10"/>
        <v>0</v>
      </c>
      <c r="AD23" s="453">
        <f aca="true" t="shared" si="11" ref="AD23:AK23">SUM(AD20:AD22)</f>
        <v>0</v>
      </c>
      <c r="AE23" s="429">
        <f t="shared" si="11"/>
        <v>0</v>
      </c>
      <c r="AF23" s="502">
        <f t="shared" si="11"/>
        <v>0</v>
      </c>
      <c r="AG23" s="502">
        <f t="shared" si="11"/>
        <v>0</v>
      </c>
      <c r="AH23" s="502">
        <f t="shared" si="11"/>
        <v>0</v>
      </c>
      <c r="AI23" s="502">
        <f>SUM(AI20:AI22)</f>
        <v>0</v>
      </c>
      <c r="AJ23" s="502">
        <f t="shared" si="11"/>
        <v>0</v>
      </c>
      <c r="AK23" s="429">
        <f t="shared" si="11"/>
        <v>0</v>
      </c>
      <c r="AL23" s="502" t="s">
        <v>1</v>
      </c>
      <c r="AM23" s="502">
        <f aca="true" t="shared" si="12" ref="AM23:AT23">SUM(AM20:AM22)</f>
        <v>0</v>
      </c>
      <c r="AN23" s="502">
        <f t="shared" si="12"/>
        <v>0</v>
      </c>
      <c r="AO23" s="502">
        <f t="shared" si="12"/>
        <v>0</v>
      </c>
      <c r="AP23" s="280">
        <f t="shared" si="12"/>
        <v>0</v>
      </c>
      <c r="AQ23" s="502">
        <f t="shared" si="12"/>
        <v>0</v>
      </c>
      <c r="AR23" s="502">
        <f t="shared" si="12"/>
        <v>0</v>
      </c>
      <c r="AS23" s="280">
        <f t="shared" si="12"/>
        <v>0</v>
      </c>
      <c r="AT23" s="280">
        <f t="shared" si="12"/>
        <v>0</v>
      </c>
      <c r="AU23" s="453">
        <f>SUM(AU20:AU22)</f>
        <v>0</v>
      </c>
      <c r="AV23" s="429">
        <f>SUM(AV20:AV22)</f>
        <v>0</v>
      </c>
      <c r="AW23" s="502" t="s">
        <v>1</v>
      </c>
      <c r="AX23" s="502">
        <f>SUM(AX20:AX22)</f>
        <v>0</v>
      </c>
      <c r="AY23" s="502">
        <f aca="true" t="shared" si="13" ref="AY23:BF23">SUM(AY20:AY22)</f>
        <v>0</v>
      </c>
      <c r="AZ23" s="502">
        <f t="shared" si="13"/>
        <v>0</v>
      </c>
      <c r="BA23" s="280">
        <f t="shared" si="13"/>
        <v>0</v>
      </c>
      <c r="BB23" s="502">
        <f t="shared" si="13"/>
        <v>0</v>
      </c>
      <c r="BC23" s="502">
        <f t="shared" si="13"/>
        <v>0</v>
      </c>
      <c r="BD23" s="280">
        <f t="shared" si="13"/>
        <v>0</v>
      </c>
      <c r="BE23" s="280">
        <f t="shared" si="13"/>
        <v>0</v>
      </c>
      <c r="BF23" s="453">
        <f t="shared" si="13"/>
        <v>0</v>
      </c>
    </row>
    <row r="24" spans="1:58" ht="13.5">
      <c r="A24" s="104"/>
      <c r="B24" s="296"/>
      <c r="C24" s="104"/>
      <c r="D24" s="104"/>
      <c r="E24" s="104"/>
      <c r="F24" s="278"/>
      <c r="G24" s="104"/>
      <c r="H24" s="104"/>
      <c r="I24" s="500"/>
      <c r="J24" s="415"/>
      <c r="K24" s="500"/>
      <c r="L24" s="500"/>
      <c r="M24" s="104"/>
      <c r="N24" s="500"/>
      <c r="O24" s="500"/>
      <c r="P24" s="104"/>
      <c r="Q24" s="104"/>
      <c r="R24" s="451"/>
      <c r="S24" s="441"/>
      <c r="T24" s="296"/>
      <c r="U24" s="296"/>
      <c r="V24" s="500"/>
      <c r="W24" s="500"/>
      <c r="X24" s="500"/>
      <c r="Y24" s="104"/>
      <c r="Z24" s="500"/>
      <c r="AA24" s="500"/>
      <c r="AB24" s="104"/>
      <c r="AC24" s="104"/>
      <c r="AD24" s="451"/>
      <c r="AE24" s="429">
        <f t="shared" si="0"/>
        <v>0</v>
      </c>
      <c r="AF24" s="502">
        <f t="shared" si="1"/>
        <v>0</v>
      </c>
      <c r="AG24" s="502">
        <f t="shared" si="2"/>
        <v>0</v>
      </c>
      <c r="AH24" s="502">
        <f t="shared" si="3"/>
        <v>0</v>
      </c>
      <c r="AI24" s="502">
        <f>+AC24-Q24</f>
        <v>0</v>
      </c>
      <c r="AJ24" s="502">
        <f t="shared" si="4"/>
        <v>0</v>
      </c>
      <c r="AK24" s="441"/>
      <c r="AL24" s="510"/>
      <c r="AM24" s="500"/>
      <c r="AN24" s="500"/>
      <c r="AO24" s="500"/>
      <c r="AP24" s="104"/>
      <c r="AQ24" s="500"/>
      <c r="AR24" s="500"/>
      <c r="AS24" s="104"/>
      <c r="AT24" s="104"/>
      <c r="AU24" s="451"/>
      <c r="AV24" s="441"/>
      <c r="AW24" s="510"/>
      <c r="AX24" s="500"/>
      <c r="AY24" s="500"/>
      <c r="AZ24" s="500"/>
      <c r="BA24" s="104"/>
      <c r="BB24" s="500"/>
      <c r="BC24" s="500"/>
      <c r="BD24" s="104"/>
      <c r="BE24" s="104"/>
      <c r="BF24" s="451"/>
    </row>
    <row r="25" spans="1:58" s="5" customFormat="1" ht="13.5">
      <c r="A25" s="232"/>
      <c r="B25" s="335" t="s">
        <v>227</v>
      </c>
      <c r="C25" s="246"/>
      <c r="D25" s="246"/>
      <c r="E25" s="246"/>
      <c r="F25" s="207"/>
      <c r="G25" s="246"/>
      <c r="H25" s="246"/>
      <c r="I25" s="503"/>
      <c r="J25" s="410"/>
      <c r="K25" s="503"/>
      <c r="L25" s="503"/>
      <c r="M25" s="246"/>
      <c r="N25" s="503"/>
      <c r="O25" s="503"/>
      <c r="P25" s="246"/>
      <c r="Q25" s="246"/>
      <c r="R25" s="454"/>
      <c r="S25" s="430"/>
      <c r="T25" s="321"/>
      <c r="U25" s="321"/>
      <c r="V25" s="503"/>
      <c r="W25" s="503"/>
      <c r="X25" s="503"/>
      <c r="Y25" s="246"/>
      <c r="Z25" s="503"/>
      <c r="AA25" s="503"/>
      <c r="AB25" s="246"/>
      <c r="AC25" s="246"/>
      <c r="AD25" s="454"/>
      <c r="AE25" s="429">
        <f t="shared" si="0"/>
        <v>0</v>
      </c>
      <c r="AF25" s="502">
        <f t="shared" si="1"/>
        <v>0</v>
      </c>
      <c r="AG25" s="502">
        <f t="shared" si="2"/>
        <v>0</v>
      </c>
      <c r="AH25" s="502">
        <f t="shared" si="3"/>
        <v>0</v>
      </c>
      <c r="AI25" s="502">
        <f>+AC25-Q25</f>
        <v>0</v>
      </c>
      <c r="AJ25" s="502">
        <f t="shared" si="4"/>
        <v>0</v>
      </c>
      <c r="AK25" s="430"/>
      <c r="AL25" s="613"/>
      <c r="AM25" s="503"/>
      <c r="AN25" s="503"/>
      <c r="AO25" s="503"/>
      <c r="AP25" s="246"/>
      <c r="AQ25" s="503"/>
      <c r="AR25" s="503"/>
      <c r="AS25" s="246"/>
      <c r="AT25" s="246"/>
      <c r="AU25" s="454"/>
      <c r="AV25" s="430"/>
      <c r="AW25" s="613"/>
      <c r="AX25" s="503"/>
      <c r="AY25" s="503"/>
      <c r="AZ25" s="503"/>
      <c r="BA25" s="246"/>
      <c r="BB25" s="503"/>
      <c r="BC25" s="503"/>
      <c r="BD25" s="246"/>
      <c r="BE25" s="246"/>
      <c r="BF25" s="454"/>
    </row>
    <row r="26" spans="1:58" ht="13.5">
      <c r="A26" s="104">
        <v>1</v>
      </c>
      <c r="B26" s="296"/>
      <c r="C26" s="232"/>
      <c r="D26" s="232"/>
      <c r="E26" s="31"/>
      <c r="F26" s="278"/>
      <c r="G26" s="31"/>
      <c r="H26" s="31"/>
      <c r="I26" s="504">
        <f>+$H26*66140</f>
        <v>0</v>
      </c>
      <c r="J26" s="416"/>
      <c r="K26" s="504">
        <f>+I26*0.02*F26</f>
        <v>0</v>
      </c>
      <c r="L26" s="504">
        <f>I26*$G26/100</f>
        <v>0</v>
      </c>
      <c r="M26" s="31"/>
      <c r="N26" s="504">
        <f>IF((K26+L26+M26)&gt;(I26*0.3),I26*0.3,K26+L26+M26)</f>
        <v>0</v>
      </c>
      <c r="O26" s="504">
        <f>IF(J26&gt;N26,J26,N26)+IF(N26=0,I26*0.15,0)</f>
        <v>0</v>
      </c>
      <c r="P26" s="31"/>
      <c r="Q26" s="31"/>
      <c r="R26" s="452">
        <f>I26+O26+P26+Q26</f>
        <v>0</v>
      </c>
      <c r="S26" s="441"/>
      <c r="T26" s="27"/>
      <c r="U26" s="27"/>
      <c r="V26" s="504">
        <f>+U26*66140</f>
        <v>0</v>
      </c>
      <c r="W26" s="504">
        <f>+V26*0.02*T26</f>
        <v>0</v>
      </c>
      <c r="X26" s="504">
        <f>V26*$G26/100</f>
        <v>0</v>
      </c>
      <c r="Y26" s="31"/>
      <c r="Z26" s="504">
        <f>IF((W26+X26+Y26)&gt;(V26*0.3),V26*0.3,W26+X26+Y26)</f>
        <v>0</v>
      </c>
      <c r="AA26" s="504">
        <f>IF($J26&gt;Z26,$J26,Z26)+IF(Z26=0,V26*0.15,0)</f>
        <v>0</v>
      </c>
      <c r="AB26" s="31"/>
      <c r="AC26" s="31"/>
      <c r="AD26" s="452">
        <f>V26+AA26+AB26+AC26</f>
        <v>0</v>
      </c>
      <c r="AE26" s="429">
        <f t="shared" si="0"/>
        <v>0</v>
      </c>
      <c r="AF26" s="502">
        <f t="shared" si="1"/>
        <v>0</v>
      </c>
      <c r="AG26" s="502">
        <f t="shared" si="2"/>
        <v>0</v>
      </c>
      <c r="AH26" s="502">
        <f t="shared" si="3"/>
        <v>0</v>
      </c>
      <c r="AI26" s="502">
        <f>+AC26-Q26</f>
        <v>0</v>
      </c>
      <c r="AJ26" s="502">
        <f t="shared" si="4"/>
        <v>0</v>
      </c>
      <c r="AK26" s="441"/>
      <c r="AL26" s="510">
        <f>+F26+1</f>
        <v>1</v>
      </c>
      <c r="AM26" s="504">
        <f>+$H26*66140</f>
        <v>0</v>
      </c>
      <c r="AN26" s="504">
        <f>+AM26*0.02*AL26</f>
        <v>0</v>
      </c>
      <c r="AO26" s="504">
        <f>AM26*$G26/100</f>
        <v>0</v>
      </c>
      <c r="AP26" s="31"/>
      <c r="AQ26" s="504">
        <f>IF((AN26+AO26+AP26)&gt;(AM26*0.3),AM26*0.3,AN26+AO26+AP26)</f>
        <v>0</v>
      </c>
      <c r="AR26" s="504">
        <f>IF($J26&gt;AQ26,$J26,AQ26)+IF(AQ26=0,AM26*0.15,0)</f>
        <v>0</v>
      </c>
      <c r="AS26" s="31"/>
      <c r="AT26" s="31"/>
      <c r="AU26" s="452">
        <f>AM26+AR26+AS26+AT26</f>
        <v>0</v>
      </c>
      <c r="AV26" s="441"/>
      <c r="AW26" s="510">
        <f>+AL26+1</f>
        <v>2</v>
      </c>
      <c r="AX26" s="504">
        <f>+$H26*66140</f>
        <v>0</v>
      </c>
      <c r="AY26" s="504">
        <f>+AX26*0.02*AW26</f>
        <v>0</v>
      </c>
      <c r="AZ26" s="504">
        <f>AX26*$G26/100</f>
        <v>0</v>
      </c>
      <c r="BA26" s="31"/>
      <c r="BB26" s="504">
        <f>IF((AY26+AZ26+BA26)&gt;(AX26*0.3),AX26*0.3,AY26+AZ26+BA26)</f>
        <v>0</v>
      </c>
      <c r="BC26" s="504">
        <f>IF($J26&gt;BB26,$J26,BB26)+IF(BB26=0,AX26*0.15,0)</f>
        <v>0</v>
      </c>
      <c r="BD26" s="31"/>
      <c r="BE26" s="31"/>
      <c r="BF26" s="452">
        <f>AX26+BC26+BD26+BE26</f>
        <v>0</v>
      </c>
    </row>
    <row r="27" spans="1:58" ht="13.5">
      <c r="A27" s="104">
        <v>2</v>
      </c>
      <c r="B27" s="296"/>
      <c r="C27" s="31"/>
      <c r="D27" s="31"/>
      <c r="E27" s="31"/>
      <c r="F27" s="278"/>
      <c r="G27" s="31"/>
      <c r="H27" s="31"/>
      <c r="I27" s="504">
        <f>+$H27*66140</f>
        <v>0</v>
      </c>
      <c r="J27" s="416"/>
      <c r="K27" s="504">
        <f>+I27*0.02*F27</f>
        <v>0</v>
      </c>
      <c r="L27" s="504">
        <f>I27*$G27/100</f>
        <v>0</v>
      </c>
      <c r="M27" s="31"/>
      <c r="N27" s="504">
        <f>IF((K27+L27+M27)&gt;(I27*0.3),I27*0.3,K27+L27+M27)</f>
        <v>0</v>
      </c>
      <c r="O27" s="504">
        <f>IF(J27&gt;N27,J27,N27)+IF(N27=0,I27*0.15,0)</f>
        <v>0</v>
      </c>
      <c r="P27" s="31"/>
      <c r="Q27" s="31"/>
      <c r="R27" s="452">
        <f>I27+O27+P27+Q27</f>
        <v>0</v>
      </c>
      <c r="S27" s="441"/>
      <c r="T27" s="27"/>
      <c r="U27" s="27"/>
      <c r="V27" s="504">
        <f>+U27*66140</f>
        <v>0</v>
      </c>
      <c r="W27" s="504">
        <f>+V27*0.02*T27</f>
        <v>0</v>
      </c>
      <c r="X27" s="504">
        <f>V27*$G27/100</f>
        <v>0</v>
      </c>
      <c r="Y27" s="31"/>
      <c r="Z27" s="504">
        <f>IF((W27+X27+Y27)&gt;(V27*0.3),V27*0.3,W27+X27+Y27)</f>
        <v>0</v>
      </c>
      <c r="AA27" s="504">
        <f>IF($J27&gt;Z27,$J27,Z27)+IF(Z27=0,V27*0.15,0)</f>
        <v>0</v>
      </c>
      <c r="AB27" s="31"/>
      <c r="AC27" s="31"/>
      <c r="AD27" s="452">
        <f>V27+AA27+AB27+AC27</f>
        <v>0</v>
      </c>
      <c r="AE27" s="429">
        <f t="shared" si="0"/>
        <v>0</v>
      </c>
      <c r="AF27" s="502">
        <f t="shared" si="1"/>
        <v>0</v>
      </c>
      <c r="AG27" s="502">
        <f t="shared" si="2"/>
        <v>0</v>
      </c>
      <c r="AH27" s="502">
        <f t="shared" si="3"/>
        <v>0</v>
      </c>
      <c r="AI27" s="502">
        <f>+AC27-Q27</f>
        <v>0</v>
      </c>
      <c r="AJ27" s="502">
        <f t="shared" si="4"/>
        <v>0</v>
      </c>
      <c r="AK27" s="441"/>
      <c r="AL27" s="510">
        <f>+F27+1</f>
        <v>1</v>
      </c>
      <c r="AM27" s="504">
        <f>+$H27*66140</f>
        <v>0</v>
      </c>
      <c r="AN27" s="504">
        <f>+AM27*0.02*AL27</f>
        <v>0</v>
      </c>
      <c r="AO27" s="504">
        <f>AM27*$G27/100</f>
        <v>0</v>
      </c>
      <c r="AP27" s="31"/>
      <c r="AQ27" s="504">
        <f>IF((AN27+AO27+AP27)&gt;(AM27*0.3),AM27*0.3,AN27+AO27+AP27)</f>
        <v>0</v>
      </c>
      <c r="AR27" s="504">
        <f>IF($J27&gt;AQ27,$J27,AQ27)+IF(AQ27=0,AM27*0.15,0)</f>
        <v>0</v>
      </c>
      <c r="AS27" s="31"/>
      <c r="AT27" s="31"/>
      <c r="AU27" s="452">
        <f>AM27+AR27+AS27+AT27</f>
        <v>0</v>
      </c>
      <c r="AV27" s="441"/>
      <c r="AW27" s="510">
        <f>+AL27+1</f>
        <v>2</v>
      </c>
      <c r="AX27" s="504">
        <f>+$H27*66140</f>
        <v>0</v>
      </c>
      <c r="AY27" s="504">
        <f>+AX27*0.02*AW27</f>
        <v>0</v>
      </c>
      <c r="AZ27" s="504">
        <f>AX27*$G27/100</f>
        <v>0</v>
      </c>
      <c r="BA27" s="31"/>
      <c r="BB27" s="504">
        <f>IF((AY27+AZ27+BA27)&gt;(AX27*0.3),AX27*0.3,AY27+AZ27+BA27)</f>
        <v>0</v>
      </c>
      <c r="BC27" s="504">
        <f>IF($J27&gt;BB27,$J27,BB27)+IF(BB27=0,AX27*0.15,0)</f>
        <v>0</v>
      </c>
      <c r="BD27" s="31"/>
      <c r="BE27" s="31"/>
      <c r="BF27" s="452">
        <f>AX27+BC27+BD27+BE27</f>
        <v>0</v>
      </c>
    </row>
    <row r="28" spans="1:58" ht="13.5">
      <c r="A28" s="104">
        <v>3</v>
      </c>
      <c r="B28" s="296"/>
      <c r="C28" s="104"/>
      <c r="D28" s="104"/>
      <c r="E28" s="104"/>
      <c r="F28" s="278"/>
      <c r="G28" s="104"/>
      <c r="H28" s="104"/>
      <c r="I28" s="504">
        <f>+$H28*66140</f>
        <v>0</v>
      </c>
      <c r="J28" s="416"/>
      <c r="K28" s="504">
        <f>+I28*0.02*F28</f>
        <v>0</v>
      </c>
      <c r="L28" s="504">
        <f>I28*$G28/100</f>
        <v>0</v>
      </c>
      <c r="M28" s="31"/>
      <c r="N28" s="504">
        <f>IF((K28+L28+M28)&gt;(I28*0.3),I28*0.3,K28+L28+M28)</f>
        <v>0</v>
      </c>
      <c r="O28" s="504">
        <f>IF(J28&gt;N28,J28,N28)+IF(N28=0,I28*0.15,0)</f>
        <v>0</v>
      </c>
      <c r="P28" s="31"/>
      <c r="Q28" s="31"/>
      <c r="R28" s="452">
        <f>I28+O28+P28+Q28</f>
        <v>0</v>
      </c>
      <c r="S28" s="441"/>
      <c r="T28" s="296"/>
      <c r="U28" s="296"/>
      <c r="V28" s="504">
        <f>+U28*66140</f>
        <v>0</v>
      </c>
      <c r="W28" s="504">
        <f>+V28*0.02*T28</f>
        <v>0</v>
      </c>
      <c r="X28" s="504">
        <f>V28*$G28/100</f>
        <v>0</v>
      </c>
      <c r="Y28" s="31"/>
      <c r="Z28" s="504">
        <f>IF((W28+X28+Y28)&gt;(V28*0.3),V28*0.3,W28+X28+Y28)</f>
        <v>0</v>
      </c>
      <c r="AA28" s="504">
        <f>IF($J28&gt;Z28,$J28,Z28)+IF(Z28=0,V28*0.15,0)</f>
        <v>0</v>
      </c>
      <c r="AB28" s="31"/>
      <c r="AC28" s="31"/>
      <c r="AD28" s="452">
        <f>V28+AA28+AB28+AC28</f>
        <v>0</v>
      </c>
      <c r="AE28" s="429">
        <f t="shared" si="0"/>
        <v>0</v>
      </c>
      <c r="AF28" s="502">
        <f t="shared" si="1"/>
        <v>0</v>
      </c>
      <c r="AG28" s="502">
        <f t="shared" si="2"/>
        <v>0</v>
      </c>
      <c r="AH28" s="502">
        <f t="shared" si="3"/>
        <v>0</v>
      </c>
      <c r="AI28" s="502">
        <f>+AC28-Q28</f>
        <v>0</v>
      </c>
      <c r="AJ28" s="502">
        <f t="shared" si="4"/>
        <v>0</v>
      </c>
      <c r="AK28" s="441"/>
      <c r="AL28" s="510">
        <f>+F28+1</f>
        <v>1</v>
      </c>
      <c r="AM28" s="504">
        <f>+$H28*66140</f>
        <v>0</v>
      </c>
      <c r="AN28" s="504">
        <f>+AM28*0.02*AL28</f>
        <v>0</v>
      </c>
      <c r="AO28" s="504">
        <f>AM28*$G28/100</f>
        <v>0</v>
      </c>
      <c r="AP28" s="31"/>
      <c r="AQ28" s="504">
        <f>IF((AN28+AO28+AP28)&gt;(AM28*0.3),AM28*0.3,AN28+AO28+AP28)</f>
        <v>0</v>
      </c>
      <c r="AR28" s="504">
        <f>IF($J28&gt;AQ28,$J28,AQ28)+IF(AQ28=0,AM28*0.15,0)</f>
        <v>0</v>
      </c>
      <c r="AS28" s="31"/>
      <c r="AT28" s="31"/>
      <c r="AU28" s="452">
        <f>AM28+AR28+AS28+AT28</f>
        <v>0</v>
      </c>
      <c r="AV28" s="441"/>
      <c r="AW28" s="510">
        <f>+AL28+1</f>
        <v>2</v>
      </c>
      <c r="AX28" s="504">
        <f>+$H28*66140</f>
        <v>0</v>
      </c>
      <c r="AY28" s="504">
        <f>+AX28*0.02*AW28</f>
        <v>0</v>
      </c>
      <c r="AZ28" s="504">
        <f>AX28*$G28/100</f>
        <v>0</v>
      </c>
      <c r="BA28" s="31"/>
      <c r="BB28" s="504">
        <f>IF((AY28+AZ28+BA28)&gt;(AX28*0.3),AX28*0.3,AY28+AZ28+BA28)</f>
        <v>0</v>
      </c>
      <c r="BC28" s="504">
        <f>IF($J28&gt;BB28,$J28,BB28)+IF(BB28=0,AX28*0.15,0)</f>
        <v>0</v>
      </c>
      <c r="BD28" s="31"/>
      <c r="BE28" s="31"/>
      <c r="BF28" s="452">
        <f>AX28+BC28+BD28+BE28</f>
        <v>0</v>
      </c>
    </row>
    <row r="29" spans="1:58" s="281" customFormat="1" ht="27">
      <c r="A29" s="278"/>
      <c r="B29" s="338" t="s">
        <v>228</v>
      </c>
      <c r="C29" s="280">
        <f>SUM(C26:C28)</f>
        <v>0</v>
      </c>
      <c r="D29" s="280" t="s">
        <v>1</v>
      </c>
      <c r="E29" s="280" t="s">
        <v>1</v>
      </c>
      <c r="F29" s="280" t="s">
        <v>1</v>
      </c>
      <c r="G29" s="280" t="s">
        <v>1</v>
      </c>
      <c r="H29" s="280" t="s">
        <v>1</v>
      </c>
      <c r="I29" s="502">
        <f aca="true" t="shared" si="14" ref="I29:AJ29">SUM(I26:I28)</f>
        <v>0</v>
      </c>
      <c r="J29" s="417">
        <f t="shared" si="14"/>
        <v>0</v>
      </c>
      <c r="K29" s="502">
        <f t="shared" si="14"/>
        <v>0</v>
      </c>
      <c r="L29" s="502">
        <f t="shared" si="14"/>
        <v>0</v>
      </c>
      <c r="M29" s="280">
        <f>SUM(M26:M28)</f>
        <v>0</v>
      </c>
      <c r="N29" s="502">
        <f t="shared" si="14"/>
        <v>0</v>
      </c>
      <c r="O29" s="502">
        <f>SUM(O26:O28)</f>
        <v>0</v>
      </c>
      <c r="P29" s="280">
        <f t="shared" si="14"/>
        <v>0</v>
      </c>
      <c r="Q29" s="280">
        <f t="shared" si="14"/>
        <v>0</v>
      </c>
      <c r="R29" s="453">
        <f t="shared" si="14"/>
        <v>0</v>
      </c>
      <c r="S29" s="429">
        <f t="shared" si="14"/>
        <v>0</v>
      </c>
      <c r="T29" s="426" t="s">
        <v>1</v>
      </c>
      <c r="U29" s="426" t="s">
        <v>1</v>
      </c>
      <c r="V29" s="502">
        <f t="shared" si="14"/>
        <v>0</v>
      </c>
      <c r="W29" s="502">
        <f aca="true" t="shared" si="15" ref="W29:AB29">SUM(W26:W28)</f>
        <v>0</v>
      </c>
      <c r="X29" s="502">
        <f t="shared" si="15"/>
        <v>0</v>
      </c>
      <c r="Y29" s="280">
        <f t="shared" si="15"/>
        <v>0</v>
      </c>
      <c r="Z29" s="502">
        <f t="shared" si="15"/>
        <v>0</v>
      </c>
      <c r="AA29" s="502">
        <f t="shared" si="15"/>
        <v>0</v>
      </c>
      <c r="AB29" s="280">
        <f t="shared" si="15"/>
        <v>0</v>
      </c>
      <c r="AC29" s="280">
        <f>SUM(AC26:AC28)</f>
        <v>0</v>
      </c>
      <c r="AD29" s="453">
        <f>SUM(AD26:AD28)</f>
        <v>0</v>
      </c>
      <c r="AE29" s="429">
        <f t="shared" si="14"/>
        <v>0</v>
      </c>
      <c r="AF29" s="502">
        <f t="shared" si="14"/>
        <v>0</v>
      </c>
      <c r="AG29" s="502">
        <f t="shared" si="14"/>
        <v>0</v>
      </c>
      <c r="AH29" s="502">
        <f t="shared" si="14"/>
        <v>0</v>
      </c>
      <c r="AI29" s="502">
        <f>SUM(AI26:AI28)</f>
        <v>0</v>
      </c>
      <c r="AJ29" s="502">
        <f t="shared" si="14"/>
        <v>0</v>
      </c>
      <c r="AK29" s="429">
        <f>SUM(AK26:AK28)</f>
        <v>0</v>
      </c>
      <c r="AL29" s="502" t="s">
        <v>1</v>
      </c>
      <c r="AM29" s="502">
        <f aca="true" t="shared" si="16" ref="AM29:AV29">SUM(AM26:AM28)</f>
        <v>0</v>
      </c>
      <c r="AN29" s="502">
        <f t="shared" si="16"/>
        <v>0</v>
      </c>
      <c r="AO29" s="502">
        <f t="shared" si="16"/>
        <v>0</v>
      </c>
      <c r="AP29" s="280">
        <f t="shared" si="16"/>
        <v>0</v>
      </c>
      <c r="AQ29" s="502">
        <f t="shared" si="16"/>
        <v>0</v>
      </c>
      <c r="AR29" s="502">
        <f t="shared" si="16"/>
        <v>0</v>
      </c>
      <c r="AS29" s="280">
        <f t="shared" si="16"/>
        <v>0</v>
      </c>
      <c r="AT29" s="280">
        <f>SUM(AT26:AT28)</f>
        <v>0</v>
      </c>
      <c r="AU29" s="453">
        <f t="shared" si="16"/>
        <v>0</v>
      </c>
      <c r="AV29" s="429">
        <f t="shared" si="16"/>
        <v>0</v>
      </c>
      <c r="AW29" s="502" t="s">
        <v>1</v>
      </c>
      <c r="AX29" s="502">
        <f aca="true" t="shared" si="17" ref="AX29:BF29">SUM(AX26:AX28)</f>
        <v>0</v>
      </c>
      <c r="AY29" s="502">
        <f t="shared" si="17"/>
        <v>0</v>
      </c>
      <c r="AZ29" s="502">
        <f t="shared" si="17"/>
        <v>0</v>
      </c>
      <c r="BA29" s="280">
        <f t="shared" si="17"/>
        <v>0</v>
      </c>
      <c r="BB29" s="502">
        <f t="shared" si="17"/>
        <v>0</v>
      </c>
      <c r="BC29" s="502">
        <f t="shared" si="17"/>
        <v>0</v>
      </c>
      <c r="BD29" s="280">
        <f t="shared" si="17"/>
        <v>0</v>
      </c>
      <c r="BE29" s="280">
        <f>SUM(BE26:BE28)</f>
        <v>0</v>
      </c>
      <c r="BF29" s="453">
        <f t="shared" si="17"/>
        <v>0</v>
      </c>
    </row>
    <row r="30" spans="1:58" ht="28.5">
      <c r="A30" s="104"/>
      <c r="B30" s="18" t="s">
        <v>258</v>
      </c>
      <c r="C30" s="248">
        <f>C16+C23+C29</f>
        <v>0</v>
      </c>
      <c r="D30" s="280" t="s">
        <v>1</v>
      </c>
      <c r="E30" s="280" t="s">
        <v>1</v>
      </c>
      <c r="F30" s="280" t="s">
        <v>1</v>
      </c>
      <c r="G30" s="280" t="s">
        <v>1</v>
      </c>
      <c r="H30" s="280" t="s">
        <v>1</v>
      </c>
      <c r="I30" s="505">
        <f aca="true" t="shared" si="18" ref="I30:S30">I16+I23+I29</f>
        <v>0</v>
      </c>
      <c r="J30" s="418">
        <f t="shared" si="18"/>
        <v>0</v>
      </c>
      <c r="K30" s="505">
        <f t="shared" si="18"/>
        <v>0</v>
      </c>
      <c r="L30" s="505">
        <f t="shared" si="18"/>
        <v>0</v>
      </c>
      <c r="M30" s="248">
        <f t="shared" si="18"/>
        <v>0</v>
      </c>
      <c r="N30" s="505">
        <f t="shared" si="18"/>
        <v>0</v>
      </c>
      <c r="O30" s="505">
        <f t="shared" si="18"/>
        <v>0</v>
      </c>
      <c r="P30" s="248">
        <f t="shared" si="18"/>
        <v>0</v>
      </c>
      <c r="Q30" s="248">
        <f t="shared" si="18"/>
        <v>0</v>
      </c>
      <c r="R30" s="455">
        <f t="shared" si="18"/>
        <v>0</v>
      </c>
      <c r="S30" s="431">
        <f t="shared" si="18"/>
        <v>0</v>
      </c>
      <c r="T30" s="362" t="s">
        <v>1</v>
      </c>
      <c r="U30" s="362" t="s">
        <v>1</v>
      </c>
      <c r="V30" s="505">
        <f>V16+V23+V29</f>
        <v>0</v>
      </c>
      <c r="W30" s="505">
        <f aca="true" t="shared" si="19" ref="W30:AB30">W16+W23+W29</f>
        <v>0</v>
      </c>
      <c r="X30" s="505">
        <f t="shared" si="19"/>
        <v>0</v>
      </c>
      <c r="Y30" s="248">
        <f t="shared" si="19"/>
        <v>0</v>
      </c>
      <c r="Z30" s="505">
        <f t="shared" si="19"/>
        <v>0</v>
      </c>
      <c r="AA30" s="505">
        <f t="shared" si="19"/>
        <v>0</v>
      </c>
      <c r="AB30" s="248">
        <f t="shared" si="19"/>
        <v>0</v>
      </c>
      <c r="AC30" s="248">
        <f>AC16+AC23+AC29</f>
        <v>0</v>
      </c>
      <c r="AD30" s="455">
        <f aca="true" t="shared" si="20" ref="AD30:AK30">AD16+AD23+AD29</f>
        <v>0</v>
      </c>
      <c r="AE30" s="431">
        <f t="shared" si="20"/>
        <v>0</v>
      </c>
      <c r="AF30" s="505">
        <f t="shared" si="20"/>
        <v>0</v>
      </c>
      <c r="AG30" s="505">
        <f t="shared" si="20"/>
        <v>0</v>
      </c>
      <c r="AH30" s="505">
        <f t="shared" si="20"/>
        <v>0</v>
      </c>
      <c r="AI30" s="505">
        <f>AI16+AI23+AI29</f>
        <v>0</v>
      </c>
      <c r="AJ30" s="505">
        <f t="shared" si="20"/>
        <v>0</v>
      </c>
      <c r="AK30" s="431">
        <f t="shared" si="20"/>
        <v>0</v>
      </c>
      <c r="AL30" s="502" t="s">
        <v>1</v>
      </c>
      <c r="AM30" s="505">
        <f aca="true" t="shared" si="21" ref="AM30:AV30">AM16+AM23+AM29</f>
        <v>0</v>
      </c>
      <c r="AN30" s="505">
        <f t="shared" si="21"/>
        <v>0</v>
      </c>
      <c r="AO30" s="505">
        <f t="shared" si="21"/>
        <v>0</v>
      </c>
      <c r="AP30" s="248">
        <f t="shared" si="21"/>
        <v>0</v>
      </c>
      <c r="AQ30" s="505">
        <f t="shared" si="21"/>
        <v>0</v>
      </c>
      <c r="AR30" s="505">
        <f t="shared" si="21"/>
        <v>0</v>
      </c>
      <c r="AS30" s="248">
        <f t="shared" si="21"/>
        <v>0</v>
      </c>
      <c r="AT30" s="248">
        <f>AT16+AT23+AT29</f>
        <v>0</v>
      </c>
      <c r="AU30" s="455">
        <f t="shared" si="21"/>
        <v>0</v>
      </c>
      <c r="AV30" s="431">
        <f t="shared" si="21"/>
        <v>0</v>
      </c>
      <c r="AW30" s="502" t="s">
        <v>1</v>
      </c>
      <c r="AX30" s="505">
        <f aca="true" t="shared" si="22" ref="AX30:BF30">AX16+AX23+AX29</f>
        <v>0</v>
      </c>
      <c r="AY30" s="505">
        <f t="shared" si="22"/>
        <v>0</v>
      </c>
      <c r="AZ30" s="505">
        <f t="shared" si="22"/>
        <v>0</v>
      </c>
      <c r="BA30" s="248">
        <f t="shared" si="22"/>
        <v>0</v>
      </c>
      <c r="BB30" s="505">
        <f t="shared" si="22"/>
        <v>0</v>
      </c>
      <c r="BC30" s="505">
        <f t="shared" si="22"/>
        <v>0</v>
      </c>
      <c r="BD30" s="248">
        <f t="shared" si="22"/>
        <v>0</v>
      </c>
      <c r="BE30" s="248">
        <f>BE16+BE23+BE29</f>
        <v>0</v>
      </c>
      <c r="BF30" s="455">
        <f t="shared" si="22"/>
        <v>0</v>
      </c>
    </row>
    <row r="31" spans="1:58" ht="14.25">
      <c r="A31" s="104"/>
      <c r="B31" s="296"/>
      <c r="C31" s="104"/>
      <c r="D31" s="104"/>
      <c r="E31" s="104"/>
      <c r="F31" s="232"/>
      <c r="G31" s="104"/>
      <c r="H31" s="104"/>
      <c r="I31" s="104"/>
      <c r="J31" s="415"/>
      <c r="K31" s="296"/>
      <c r="L31" s="296"/>
      <c r="M31" s="104"/>
      <c r="N31" s="104"/>
      <c r="O31" s="449"/>
      <c r="P31" s="104"/>
      <c r="Q31" s="104"/>
      <c r="R31" s="451"/>
      <c r="S31" s="442"/>
      <c r="T31" s="296"/>
      <c r="U31" s="296"/>
      <c r="V31" s="104"/>
      <c r="W31" s="296"/>
      <c r="X31" s="296"/>
      <c r="Y31" s="104"/>
      <c r="Z31" s="104"/>
      <c r="AA31" s="449"/>
      <c r="AB31" s="104"/>
      <c r="AC31" s="104"/>
      <c r="AD31" s="451"/>
      <c r="AE31" s="442"/>
      <c r="AF31" s="232"/>
      <c r="AG31" s="244"/>
      <c r="AH31" s="244"/>
      <c r="AI31" s="104"/>
      <c r="AJ31" s="232"/>
      <c r="AK31" s="442"/>
      <c r="AL31" s="232"/>
      <c r="AM31" s="104"/>
      <c r="AN31" s="296"/>
      <c r="AO31" s="296"/>
      <c r="AP31" s="104"/>
      <c r="AQ31" s="104"/>
      <c r="AR31" s="449"/>
      <c r="AS31" s="104"/>
      <c r="AT31" s="104"/>
      <c r="AU31" s="451"/>
      <c r="AV31" s="442"/>
      <c r="AW31" s="232"/>
      <c r="AX31" s="104"/>
      <c r="AY31" s="296"/>
      <c r="AZ31" s="296"/>
      <c r="BA31" s="104"/>
      <c r="BB31" s="104"/>
      <c r="BC31" s="449"/>
      <c r="BD31" s="104"/>
      <c r="BE31" s="104"/>
      <c r="BF31" s="451"/>
    </row>
    <row r="34" spans="1:2" s="5" customFormat="1" ht="13.5">
      <c r="A34" s="4"/>
      <c r="B34" s="21" t="s">
        <v>230</v>
      </c>
    </row>
    <row r="35" spans="1:7" s="5" customFormat="1" ht="27.75" customHeight="1">
      <c r="A35" s="4"/>
      <c r="B35" s="317" t="s">
        <v>420</v>
      </c>
      <c r="C35" s="191"/>
      <c r="D35" s="324"/>
      <c r="E35" s="324"/>
      <c r="F35" s="324"/>
      <c r="G35" s="324"/>
    </row>
    <row r="36" spans="1:7" s="5" customFormat="1" ht="29.25" customHeight="1">
      <c r="A36" s="4"/>
      <c r="B36" s="597" t="s">
        <v>437</v>
      </c>
      <c r="C36" s="324"/>
      <c r="D36" s="324"/>
      <c r="E36" s="324"/>
      <c r="F36" s="324"/>
      <c r="G36" s="324"/>
    </row>
    <row r="42" spans="19:48" ht="13.5">
      <c r="S42" s="443"/>
      <c r="AK42" s="443"/>
      <c r="AV42" s="443"/>
    </row>
    <row r="43" spans="19:48" ht="11.25" customHeight="1">
      <c r="S43" s="443"/>
      <c r="AK43" s="443"/>
      <c r="AV43" s="443"/>
    </row>
    <row r="44" ht="11.25" customHeight="1"/>
  </sheetData>
  <sheetProtection/>
  <mergeCells count="2">
    <mergeCell ref="AH2:AJ2"/>
    <mergeCell ref="AE5:AJ5"/>
  </mergeCells>
  <printOptions/>
  <pageMargins left="0.17" right="0.17" top="0.35" bottom="0.21" header="0.28" footer="0.16"/>
  <pageSetup horizontalDpi="600" verticalDpi="600" orientation="landscape" paperSize="9" scale="9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K47"/>
  <sheetViews>
    <sheetView zoomScalePageLayoutView="0" workbookViewId="0" topLeftCell="B1">
      <selection activeCell="C4" sqref="C4"/>
    </sheetView>
  </sheetViews>
  <sheetFormatPr defaultColWidth="9.140625" defaultRowHeight="12.75"/>
  <cols>
    <col min="1" max="1" width="3.57421875" style="4" customWidth="1"/>
    <col min="2" max="2" width="27.28125" style="5" customWidth="1"/>
    <col min="3" max="3" width="16.57421875" style="5" customWidth="1"/>
    <col min="4" max="4" width="8.140625" style="5" customWidth="1"/>
    <col min="5" max="5" width="8.57421875" style="5" customWidth="1"/>
    <col min="6" max="6" width="11.421875" style="5" customWidth="1"/>
    <col min="7" max="7" width="12.140625" style="5" customWidth="1"/>
    <col min="8" max="8" width="14.57421875" style="5" customWidth="1"/>
    <col min="9" max="9" width="10.57421875" style="5" customWidth="1"/>
    <col min="10" max="10" width="9.00390625" style="5" customWidth="1"/>
    <col min="11" max="11" width="10.57421875" style="5" customWidth="1"/>
    <col min="12" max="12" width="8.140625" style="5" customWidth="1"/>
    <col min="13" max="13" width="11.421875" style="5" customWidth="1"/>
    <col min="14" max="14" width="12.140625" style="5" customWidth="1"/>
    <col min="15" max="15" width="8.28125" style="5" customWidth="1"/>
    <col min="16" max="16" width="9.28125" style="5" customWidth="1"/>
    <col min="17" max="17" width="10.421875" style="5" customWidth="1"/>
    <col min="18" max="18" width="10.57421875" style="5" customWidth="1"/>
    <col min="19" max="19" width="8.28125" style="5" customWidth="1"/>
    <col min="20" max="20" width="8.140625" style="5" customWidth="1"/>
    <col min="21" max="21" width="8.28125" style="5" customWidth="1"/>
    <col min="22" max="24" width="9.140625" style="5" customWidth="1"/>
    <col min="25" max="25" width="11.421875" style="5" customWidth="1"/>
    <col min="26" max="26" width="12.140625" style="5" customWidth="1"/>
    <col min="27" max="31" width="9.140625" style="5" customWidth="1"/>
    <col min="32" max="32" width="11.421875" style="5" customWidth="1"/>
    <col min="33" max="33" width="12.140625" style="5" customWidth="1"/>
    <col min="34" max="34" width="9.7109375" style="5" customWidth="1"/>
    <col min="35" max="16384" width="9.140625" style="5" customWidth="1"/>
  </cols>
  <sheetData>
    <row r="1" spans="1:37" ht="16.5">
      <c r="A1" s="32"/>
      <c r="B1" s="236" t="s">
        <v>218</v>
      </c>
      <c r="C1" s="33"/>
      <c r="D1" s="33"/>
      <c r="E1" s="33"/>
      <c r="F1" s="33"/>
      <c r="G1" s="33"/>
      <c r="H1" s="33"/>
      <c r="I1" s="3"/>
      <c r="J1" s="138"/>
      <c r="K1" s="138"/>
      <c r="L1" s="33"/>
      <c r="M1" s="33"/>
      <c r="N1" s="33"/>
      <c r="O1" s="138"/>
      <c r="P1" s="32"/>
      <c r="Q1" s="137" t="s">
        <v>259</v>
      </c>
      <c r="R1" s="33"/>
      <c r="S1" s="138"/>
      <c r="T1" s="33"/>
      <c r="U1" s="138"/>
      <c r="V1" s="33"/>
      <c r="W1" s="138"/>
      <c r="X1" s="33"/>
      <c r="Y1" s="33"/>
      <c r="Z1" s="33"/>
      <c r="AA1" s="138"/>
      <c r="AB1" s="33"/>
      <c r="AC1" s="138"/>
      <c r="AD1" s="33"/>
      <c r="AE1" s="138"/>
      <c r="AF1" s="33"/>
      <c r="AG1" s="33"/>
      <c r="AH1" s="3"/>
      <c r="AI1" s="33"/>
      <c r="AJ1" s="33"/>
      <c r="AK1" s="33"/>
    </row>
    <row r="2" spans="1:37" ht="22.5" customHeight="1" thickBot="1">
      <c r="A2" s="32"/>
      <c r="B2" s="24"/>
      <c r="C2" s="436"/>
      <c r="D2" s="436"/>
      <c r="E2" s="24"/>
      <c r="F2" s="436"/>
      <c r="G2" s="436"/>
      <c r="H2" s="436"/>
      <c r="I2" s="643"/>
      <c r="J2" s="436"/>
      <c r="K2" s="643"/>
      <c r="L2" s="685"/>
      <c r="M2" s="436"/>
      <c r="N2" s="436"/>
      <c r="O2" s="644"/>
      <c r="P2" s="684"/>
      <c r="Q2" s="686" t="s">
        <v>27</v>
      </c>
      <c r="R2" s="683"/>
      <c r="S2" s="683"/>
      <c r="T2" s="683"/>
      <c r="U2" s="683"/>
      <c r="V2" s="683"/>
      <c r="W2" s="683"/>
      <c r="X2" s="683"/>
      <c r="Y2" s="436"/>
      <c r="Z2" s="436"/>
      <c r="AA2" s="683"/>
      <c r="AB2" s="683"/>
      <c r="AC2" s="683"/>
      <c r="AD2" s="683"/>
      <c r="AE2" s="683"/>
      <c r="AF2" s="436"/>
      <c r="AG2" s="436"/>
      <c r="AH2" s="683"/>
      <c r="AI2" s="346"/>
      <c r="AJ2" s="346"/>
      <c r="AK2" s="346"/>
    </row>
    <row r="3" spans="1:37" s="191" customFormat="1" ht="13.5">
      <c r="A3" s="32"/>
      <c r="B3" s="423" t="s">
        <v>28</v>
      </c>
      <c r="C3" s="138"/>
      <c r="D3" s="138"/>
      <c r="E3" s="189"/>
      <c r="F3" s="138"/>
      <c r="G3" s="33"/>
      <c r="H3" s="33"/>
      <c r="I3" s="33"/>
      <c r="J3" s="33"/>
      <c r="K3" s="190"/>
      <c r="L3" s="36"/>
      <c r="M3" s="138"/>
      <c r="N3" s="33"/>
      <c r="O3" s="190"/>
      <c r="P3" s="33"/>
      <c r="Q3" s="190"/>
      <c r="R3" s="36"/>
      <c r="S3" s="190"/>
      <c r="T3" s="36"/>
      <c r="U3" s="190"/>
      <c r="V3" s="36"/>
      <c r="W3" s="190"/>
      <c r="X3" s="36"/>
      <c r="Y3" s="138"/>
      <c r="Z3" s="33"/>
      <c r="AA3" s="190"/>
      <c r="AB3" s="36"/>
      <c r="AC3" s="190"/>
      <c r="AD3" s="36"/>
      <c r="AE3" s="190"/>
      <c r="AF3" s="138"/>
      <c r="AG3" s="33"/>
      <c r="AH3" s="190"/>
      <c r="AI3" s="190"/>
      <c r="AJ3" s="190"/>
      <c r="AK3" s="190"/>
    </row>
    <row r="4" spans="1:37" s="191" customFormat="1" ht="22.5" customHeight="1">
      <c r="A4" s="32"/>
      <c r="B4" s="189"/>
      <c r="C4" s="138"/>
      <c r="D4" s="138"/>
      <c r="E4" s="189"/>
      <c r="F4" s="138"/>
      <c r="G4" s="33"/>
      <c r="H4" s="33"/>
      <c r="I4" s="33"/>
      <c r="J4" s="33"/>
      <c r="K4" s="190"/>
      <c r="L4" s="36"/>
      <c r="M4" s="138"/>
      <c r="N4" s="33"/>
      <c r="O4" s="190"/>
      <c r="P4" s="33"/>
      <c r="Q4" s="43" t="s">
        <v>216</v>
      </c>
      <c r="R4" s="36"/>
      <c r="S4" s="190"/>
      <c r="T4" s="36"/>
      <c r="U4" s="190"/>
      <c r="V4" s="36"/>
      <c r="W4" s="190"/>
      <c r="X4" s="36"/>
      <c r="Y4" s="138"/>
      <c r="Z4" s="33"/>
      <c r="AA4" s="190"/>
      <c r="AB4" s="36"/>
      <c r="AC4" s="190"/>
      <c r="AD4" s="36"/>
      <c r="AE4" s="190"/>
      <c r="AF4" s="138"/>
      <c r="AG4" s="33"/>
      <c r="AH4" s="190"/>
      <c r="AI4" s="190"/>
      <c r="AJ4" s="190"/>
      <c r="AK4" s="190"/>
    </row>
    <row r="5" spans="1:37" s="366" customFormat="1" ht="14.25">
      <c r="A5" s="282"/>
      <c r="B5" s="363"/>
      <c r="C5" s="364"/>
      <c r="D5" s="468"/>
      <c r="E5" s="468"/>
      <c r="F5" s="468"/>
      <c r="G5" s="468"/>
      <c r="H5" s="468" t="s">
        <v>452</v>
      </c>
      <c r="I5" s="468"/>
      <c r="J5" s="468"/>
      <c r="K5" s="469"/>
      <c r="L5" s="465"/>
      <c r="M5" s="468"/>
      <c r="N5" s="468"/>
      <c r="O5" s="465" t="s">
        <v>451</v>
      </c>
      <c r="P5" s="465"/>
      <c r="Q5" s="465"/>
      <c r="R5" s="466"/>
      <c r="S5" s="975" t="s">
        <v>217</v>
      </c>
      <c r="T5" s="975"/>
      <c r="U5" s="975"/>
      <c r="V5" s="975"/>
      <c r="W5" s="975"/>
      <c r="X5" s="614"/>
      <c r="Y5" s="465"/>
      <c r="Z5" s="465"/>
      <c r="AA5" s="465" t="s">
        <v>471</v>
      </c>
      <c r="AB5" s="465"/>
      <c r="AC5" s="465"/>
      <c r="AD5" s="466"/>
      <c r="AE5" s="465"/>
      <c r="AF5" s="465"/>
      <c r="AG5" s="465"/>
      <c r="AH5" s="465" t="s">
        <v>502</v>
      </c>
      <c r="AI5" s="465"/>
      <c r="AJ5" s="465"/>
      <c r="AK5" s="466"/>
    </row>
    <row r="6" spans="1:37" s="191" customFormat="1" ht="102">
      <c r="A6" s="243" t="s">
        <v>111</v>
      </c>
      <c r="B6" s="66" t="s">
        <v>219</v>
      </c>
      <c r="C6" s="66" t="s">
        <v>220</v>
      </c>
      <c r="D6" s="66" t="s">
        <v>221</v>
      </c>
      <c r="E6" s="66" t="s">
        <v>212</v>
      </c>
      <c r="F6" s="562" t="s">
        <v>468</v>
      </c>
      <c r="G6" s="562" t="s">
        <v>457</v>
      </c>
      <c r="H6" s="325" t="s">
        <v>314</v>
      </c>
      <c r="I6" s="66" t="s">
        <v>223</v>
      </c>
      <c r="J6" s="66" t="s">
        <v>224</v>
      </c>
      <c r="K6" s="66" t="s">
        <v>255</v>
      </c>
      <c r="L6" s="66" t="s">
        <v>212</v>
      </c>
      <c r="M6" s="562" t="s">
        <v>467</v>
      </c>
      <c r="N6" s="562" t="s">
        <v>456</v>
      </c>
      <c r="O6" s="66" t="s">
        <v>284</v>
      </c>
      <c r="P6" s="66" t="s">
        <v>223</v>
      </c>
      <c r="Q6" s="66" t="s">
        <v>224</v>
      </c>
      <c r="R6" s="66" t="s">
        <v>255</v>
      </c>
      <c r="S6" s="66" t="s">
        <v>212</v>
      </c>
      <c r="T6" s="66" t="s">
        <v>284</v>
      </c>
      <c r="U6" s="66" t="s">
        <v>223</v>
      </c>
      <c r="V6" s="66" t="s">
        <v>224</v>
      </c>
      <c r="W6" s="66" t="s">
        <v>255</v>
      </c>
      <c r="X6" s="66" t="s">
        <v>212</v>
      </c>
      <c r="Y6" s="562" t="s">
        <v>478</v>
      </c>
      <c r="Z6" s="562" t="s">
        <v>475</v>
      </c>
      <c r="AA6" s="66" t="s">
        <v>284</v>
      </c>
      <c r="AB6" s="66" t="s">
        <v>223</v>
      </c>
      <c r="AC6" s="66" t="s">
        <v>224</v>
      </c>
      <c r="AD6" s="66" t="s">
        <v>255</v>
      </c>
      <c r="AE6" s="66" t="s">
        <v>212</v>
      </c>
      <c r="AF6" s="562" t="s">
        <v>526</v>
      </c>
      <c r="AG6" s="562" t="s">
        <v>522</v>
      </c>
      <c r="AH6" s="66" t="s">
        <v>284</v>
      </c>
      <c r="AI6" s="66" t="s">
        <v>223</v>
      </c>
      <c r="AJ6" s="66" t="s">
        <v>224</v>
      </c>
      <c r="AK6" s="66" t="s">
        <v>255</v>
      </c>
    </row>
    <row r="7" spans="1:37" s="37" customFormat="1" ht="12.75">
      <c r="A7" s="127">
        <v>1</v>
      </c>
      <c r="B7" s="127">
        <v>2</v>
      </c>
      <c r="C7" s="127">
        <v>3</v>
      </c>
      <c r="D7" s="127">
        <v>4</v>
      </c>
      <c r="E7" s="127">
        <v>5</v>
      </c>
      <c r="F7" s="127">
        <v>6</v>
      </c>
      <c r="G7" s="127">
        <v>7</v>
      </c>
      <c r="H7" s="127">
        <v>8</v>
      </c>
      <c r="I7" s="127">
        <v>9</v>
      </c>
      <c r="J7" s="127">
        <v>10</v>
      </c>
      <c r="K7" s="127">
        <v>11</v>
      </c>
      <c r="L7" s="127">
        <v>12</v>
      </c>
      <c r="M7" s="127">
        <v>13</v>
      </c>
      <c r="N7" s="127">
        <v>14</v>
      </c>
      <c r="O7" s="127">
        <v>15</v>
      </c>
      <c r="P7" s="127">
        <v>16</v>
      </c>
      <c r="Q7" s="127">
        <v>17</v>
      </c>
      <c r="R7" s="127">
        <v>18</v>
      </c>
      <c r="S7" s="127">
        <v>19</v>
      </c>
      <c r="T7" s="127">
        <v>20</v>
      </c>
      <c r="U7" s="127">
        <v>21</v>
      </c>
      <c r="V7" s="127">
        <v>22</v>
      </c>
      <c r="W7" s="127">
        <v>23</v>
      </c>
      <c r="X7" s="127">
        <v>24</v>
      </c>
      <c r="Y7" s="127">
        <v>25</v>
      </c>
      <c r="Z7" s="127">
        <v>26</v>
      </c>
      <c r="AA7" s="127">
        <v>27</v>
      </c>
      <c r="AB7" s="127">
        <v>28</v>
      </c>
      <c r="AC7" s="127">
        <v>29</v>
      </c>
      <c r="AD7" s="127">
        <v>30</v>
      </c>
      <c r="AE7" s="127">
        <v>31</v>
      </c>
      <c r="AF7" s="127">
        <v>32</v>
      </c>
      <c r="AG7" s="127">
        <v>33</v>
      </c>
      <c r="AH7" s="127">
        <v>34</v>
      </c>
      <c r="AI7" s="127">
        <v>35</v>
      </c>
      <c r="AJ7" s="127">
        <v>36</v>
      </c>
      <c r="AK7" s="127">
        <v>37</v>
      </c>
    </row>
    <row r="8" spans="1:37" ht="40.5">
      <c r="A8" s="244" t="s">
        <v>2</v>
      </c>
      <c r="B8" s="245" t="s">
        <v>431</v>
      </c>
      <c r="C8" s="246"/>
      <c r="D8" s="246"/>
      <c r="E8" s="207"/>
      <c r="F8" s="246"/>
      <c r="G8" s="246"/>
      <c r="H8" s="246"/>
      <c r="I8" s="246"/>
      <c r="J8" s="246"/>
      <c r="K8" s="246"/>
      <c r="L8" s="207"/>
      <c r="M8" s="246"/>
      <c r="N8" s="246"/>
      <c r="O8" s="246"/>
      <c r="P8" s="246"/>
      <c r="Q8" s="246"/>
      <c r="R8" s="207"/>
      <c r="S8" s="246"/>
      <c r="T8" s="207"/>
      <c r="U8" s="246"/>
      <c r="V8" s="109"/>
      <c r="W8" s="109"/>
      <c r="X8" s="109"/>
      <c r="Y8" s="246"/>
      <c r="Z8" s="246"/>
      <c r="AA8" s="109"/>
      <c r="AB8" s="109"/>
      <c r="AC8" s="109"/>
      <c r="AD8" s="109"/>
      <c r="AE8" s="109"/>
      <c r="AF8" s="246"/>
      <c r="AG8" s="246"/>
      <c r="AH8" s="109"/>
      <c r="AI8" s="109"/>
      <c r="AJ8" s="109"/>
      <c r="AK8" s="109"/>
    </row>
    <row r="9" spans="1:37" ht="13.5">
      <c r="A9" s="232"/>
      <c r="B9" s="207" t="s">
        <v>123</v>
      </c>
      <c r="C9" s="246"/>
      <c r="D9" s="246"/>
      <c r="E9" s="207"/>
      <c r="F9" s="246"/>
      <c r="G9" s="246"/>
      <c r="H9" s="246"/>
      <c r="I9" s="246"/>
      <c r="J9" s="246"/>
      <c r="K9" s="246"/>
      <c r="L9" s="207"/>
      <c r="M9" s="246"/>
      <c r="N9" s="246"/>
      <c r="O9" s="246"/>
      <c r="P9" s="246"/>
      <c r="Q9" s="246"/>
      <c r="R9" s="207"/>
      <c r="S9" s="246"/>
      <c r="T9" s="207"/>
      <c r="U9" s="246"/>
      <c r="V9" s="109"/>
      <c r="W9" s="109"/>
      <c r="X9" s="109"/>
      <c r="Y9" s="246"/>
      <c r="Z9" s="246"/>
      <c r="AA9" s="109"/>
      <c r="AB9" s="109"/>
      <c r="AC9" s="109"/>
      <c r="AD9" s="109"/>
      <c r="AE9" s="109"/>
      <c r="AF9" s="246"/>
      <c r="AG9" s="246"/>
      <c r="AH9" s="109"/>
      <c r="AI9" s="109"/>
      <c r="AJ9" s="109"/>
      <c r="AK9" s="109"/>
    </row>
    <row r="10" spans="1:37" ht="13.5">
      <c r="A10" s="232">
        <v>1</v>
      </c>
      <c r="B10" s="104"/>
      <c r="C10" s="232"/>
      <c r="D10" s="232"/>
      <c r="E10" s="104"/>
      <c r="F10" s="232"/>
      <c r="G10" s="232"/>
      <c r="H10" s="104"/>
      <c r="I10" s="104"/>
      <c r="J10" s="104"/>
      <c r="K10" s="246">
        <f>H10+I10+J10</f>
        <v>0</v>
      </c>
      <c r="L10" s="104"/>
      <c r="M10" s="232"/>
      <c r="N10" s="232"/>
      <c r="O10" s="232"/>
      <c r="P10" s="232"/>
      <c r="Q10" s="232"/>
      <c r="R10" s="246">
        <f>O10+P10+Q10</f>
        <v>0</v>
      </c>
      <c r="S10" s="246">
        <f>E10-L10</f>
        <v>0</v>
      </c>
      <c r="T10" s="246">
        <f aca="true" t="shared" si="0" ref="T10:V12">H10-O10</f>
        <v>0</v>
      </c>
      <c r="U10" s="246">
        <f t="shared" si="0"/>
        <v>0</v>
      </c>
      <c r="V10" s="246">
        <f t="shared" si="0"/>
        <v>0</v>
      </c>
      <c r="W10" s="246">
        <f>T10+U10+V10</f>
        <v>0</v>
      </c>
      <c r="X10" s="104"/>
      <c r="Y10" s="232"/>
      <c r="Z10" s="232"/>
      <c r="AA10" s="232"/>
      <c r="AB10" s="232"/>
      <c r="AC10" s="232"/>
      <c r="AD10" s="246">
        <f>AA10+AB10+AC10</f>
        <v>0</v>
      </c>
      <c r="AE10" s="104"/>
      <c r="AF10" s="232"/>
      <c r="AG10" s="232"/>
      <c r="AH10" s="232"/>
      <c r="AI10" s="232"/>
      <c r="AJ10" s="232"/>
      <c r="AK10" s="246">
        <f>AH10+AI10+AJ10</f>
        <v>0</v>
      </c>
    </row>
    <row r="11" spans="1:37" ht="13.5">
      <c r="A11" s="232">
        <v>2</v>
      </c>
      <c r="B11" s="104"/>
      <c r="C11" s="232"/>
      <c r="D11" s="232"/>
      <c r="E11" s="104"/>
      <c r="F11" s="232"/>
      <c r="G11" s="232"/>
      <c r="H11" s="104"/>
      <c r="I11" s="104"/>
      <c r="J11" s="104"/>
      <c r="K11" s="246">
        <f>H11+I11+J11</f>
        <v>0</v>
      </c>
      <c r="L11" s="104"/>
      <c r="M11" s="232"/>
      <c r="N11" s="232"/>
      <c r="O11" s="232"/>
      <c r="P11" s="232"/>
      <c r="Q11" s="232"/>
      <c r="R11" s="246">
        <f>O11+P11+Q11</f>
        <v>0</v>
      </c>
      <c r="S11" s="246">
        <f>E11-L11</f>
        <v>0</v>
      </c>
      <c r="T11" s="246">
        <f t="shared" si="0"/>
        <v>0</v>
      </c>
      <c r="U11" s="246">
        <f t="shared" si="0"/>
        <v>0</v>
      </c>
      <c r="V11" s="246">
        <f t="shared" si="0"/>
        <v>0</v>
      </c>
      <c r="W11" s="246">
        <f>T11+U11+V11</f>
        <v>0</v>
      </c>
      <c r="X11" s="104"/>
      <c r="Y11" s="232"/>
      <c r="Z11" s="232"/>
      <c r="AA11" s="232"/>
      <c r="AB11" s="232"/>
      <c r="AC11" s="232"/>
      <c r="AD11" s="246">
        <f>AA11+AB11+AC11</f>
        <v>0</v>
      </c>
      <c r="AE11" s="104"/>
      <c r="AF11" s="232"/>
      <c r="AG11" s="232"/>
      <c r="AH11" s="232"/>
      <c r="AI11" s="232"/>
      <c r="AJ11" s="232"/>
      <c r="AK11" s="246">
        <f>AH11+AI11+AJ11</f>
        <v>0</v>
      </c>
    </row>
    <row r="12" spans="1:37" ht="13.5">
      <c r="A12" s="232">
        <v>3</v>
      </c>
      <c r="B12" s="247"/>
      <c r="C12" s="232"/>
      <c r="D12" s="232"/>
      <c r="E12" s="104"/>
      <c r="F12" s="232"/>
      <c r="G12" s="232"/>
      <c r="H12" s="104"/>
      <c r="I12" s="104"/>
      <c r="J12" s="104"/>
      <c r="K12" s="246">
        <f>H12+I12+J12</f>
        <v>0</v>
      </c>
      <c r="L12" s="104"/>
      <c r="M12" s="232"/>
      <c r="N12" s="232"/>
      <c r="O12" s="232"/>
      <c r="P12" s="232"/>
      <c r="Q12" s="232"/>
      <c r="R12" s="246">
        <f>O12+P12+Q12</f>
        <v>0</v>
      </c>
      <c r="S12" s="246">
        <f>E12-L12</f>
        <v>0</v>
      </c>
      <c r="T12" s="246">
        <f t="shared" si="0"/>
        <v>0</v>
      </c>
      <c r="U12" s="246">
        <f t="shared" si="0"/>
        <v>0</v>
      </c>
      <c r="V12" s="246">
        <f t="shared" si="0"/>
        <v>0</v>
      </c>
      <c r="W12" s="246">
        <f>T12+U12+V12</f>
        <v>0</v>
      </c>
      <c r="X12" s="104"/>
      <c r="Y12" s="232"/>
      <c r="Z12" s="232"/>
      <c r="AA12" s="232"/>
      <c r="AB12" s="232"/>
      <c r="AC12" s="232"/>
      <c r="AD12" s="246">
        <f>AA12+AB12+AC12</f>
        <v>0</v>
      </c>
      <c r="AE12" s="104"/>
      <c r="AF12" s="232"/>
      <c r="AG12" s="232"/>
      <c r="AH12" s="232"/>
      <c r="AI12" s="232"/>
      <c r="AJ12" s="232"/>
      <c r="AK12" s="246">
        <f>AH12+AI12+AJ12</f>
        <v>0</v>
      </c>
    </row>
    <row r="13" spans="1:37" s="249" customFormat="1" ht="14.25">
      <c r="A13" s="244"/>
      <c r="B13" s="252" t="s">
        <v>263</v>
      </c>
      <c r="C13" s="248" t="s">
        <v>1</v>
      </c>
      <c r="D13" s="248" t="s">
        <v>1</v>
      </c>
      <c r="E13" s="248">
        <f>SUM(E10:E12)</f>
        <v>0</v>
      </c>
      <c r="F13" s="248" t="s">
        <v>1</v>
      </c>
      <c r="G13" s="248" t="s">
        <v>1</v>
      </c>
      <c r="H13" s="248">
        <f aca="true" t="shared" si="1" ref="H13:W13">SUM(H10:H12)</f>
        <v>0</v>
      </c>
      <c r="I13" s="248">
        <f t="shared" si="1"/>
        <v>0</v>
      </c>
      <c r="J13" s="248">
        <f t="shared" si="1"/>
        <v>0</v>
      </c>
      <c r="K13" s="248">
        <f t="shared" si="1"/>
        <v>0</v>
      </c>
      <c r="L13" s="248">
        <f>SUM(L10:L12)</f>
        <v>0</v>
      </c>
      <c r="M13" s="248" t="s">
        <v>1</v>
      </c>
      <c r="N13" s="248" t="s">
        <v>1</v>
      </c>
      <c r="O13" s="248">
        <f t="shared" si="1"/>
        <v>0</v>
      </c>
      <c r="P13" s="248">
        <f>SUM(P10:P12)</f>
        <v>0</v>
      </c>
      <c r="Q13" s="248">
        <f t="shared" si="1"/>
        <v>0</v>
      </c>
      <c r="R13" s="248">
        <f t="shared" si="1"/>
        <v>0</v>
      </c>
      <c r="S13" s="248">
        <f t="shared" si="1"/>
        <v>0</v>
      </c>
      <c r="T13" s="248">
        <f t="shared" si="1"/>
        <v>0</v>
      </c>
      <c r="U13" s="248">
        <f t="shared" si="1"/>
        <v>0</v>
      </c>
      <c r="V13" s="248">
        <f t="shared" si="1"/>
        <v>0</v>
      </c>
      <c r="W13" s="248">
        <f t="shared" si="1"/>
        <v>0</v>
      </c>
      <c r="X13" s="248">
        <f>SUM(X10:X12)</f>
        <v>0</v>
      </c>
      <c r="Y13" s="248" t="s">
        <v>1</v>
      </c>
      <c r="Z13" s="248" t="s">
        <v>1</v>
      </c>
      <c r="AA13" s="248">
        <f aca="true" t="shared" si="2" ref="AA13:AK13">SUM(AA10:AA12)</f>
        <v>0</v>
      </c>
      <c r="AB13" s="248">
        <f t="shared" si="2"/>
        <v>0</v>
      </c>
      <c r="AC13" s="248">
        <f t="shared" si="2"/>
        <v>0</v>
      </c>
      <c r="AD13" s="248">
        <f t="shared" si="2"/>
        <v>0</v>
      </c>
      <c r="AE13" s="248">
        <f>SUM(AE10:AE12)</f>
        <v>0</v>
      </c>
      <c r="AF13" s="248" t="s">
        <v>1</v>
      </c>
      <c r="AG13" s="248" t="s">
        <v>1</v>
      </c>
      <c r="AH13" s="248">
        <f t="shared" si="2"/>
        <v>0</v>
      </c>
      <c r="AI13" s="248">
        <f t="shared" si="2"/>
        <v>0</v>
      </c>
      <c r="AJ13" s="248">
        <f t="shared" si="2"/>
        <v>0</v>
      </c>
      <c r="AK13" s="248">
        <f t="shared" si="2"/>
        <v>0</v>
      </c>
    </row>
    <row r="14" spans="1:37" ht="13.5">
      <c r="A14" s="232"/>
      <c r="B14" s="207"/>
      <c r="C14" s="246"/>
      <c r="D14" s="246"/>
      <c r="E14" s="207"/>
      <c r="F14" s="246"/>
      <c r="G14" s="246"/>
      <c r="H14" s="246"/>
      <c r="I14" s="246"/>
      <c r="J14" s="246"/>
      <c r="K14" s="246"/>
      <c r="L14" s="207"/>
      <c r="M14" s="246"/>
      <c r="N14" s="246"/>
      <c r="O14" s="246"/>
      <c r="P14" s="246"/>
      <c r="Q14" s="246"/>
      <c r="R14" s="207"/>
      <c r="S14" s="246"/>
      <c r="T14" s="207"/>
      <c r="U14" s="246"/>
      <c r="V14" s="109"/>
      <c r="W14" s="109"/>
      <c r="X14" s="109"/>
      <c r="Y14" s="246"/>
      <c r="Z14" s="246"/>
      <c r="AA14" s="109"/>
      <c r="AB14" s="109"/>
      <c r="AC14" s="109"/>
      <c r="AD14" s="109"/>
      <c r="AE14" s="109"/>
      <c r="AF14" s="246"/>
      <c r="AG14" s="246"/>
      <c r="AH14" s="109"/>
      <c r="AI14" s="109"/>
      <c r="AJ14" s="109"/>
      <c r="AK14" s="109"/>
    </row>
    <row r="15" spans="1:37" ht="40.5">
      <c r="A15" s="244" t="s">
        <v>3</v>
      </c>
      <c r="B15" s="245" t="s">
        <v>484</v>
      </c>
      <c r="C15" s="246"/>
      <c r="D15" s="246"/>
      <c r="E15" s="245"/>
      <c r="F15" s="246"/>
      <c r="G15" s="246"/>
      <c r="H15" s="246"/>
      <c r="I15" s="246"/>
      <c r="J15" s="246"/>
      <c r="K15" s="246"/>
      <c r="L15" s="245"/>
      <c r="M15" s="246"/>
      <c r="N15" s="246"/>
      <c r="O15" s="246"/>
      <c r="P15" s="246"/>
      <c r="Q15" s="246"/>
      <c r="R15" s="245"/>
      <c r="S15" s="246"/>
      <c r="T15" s="245"/>
      <c r="U15" s="246"/>
      <c r="V15" s="109"/>
      <c r="W15" s="109"/>
      <c r="X15" s="109"/>
      <c r="Y15" s="246"/>
      <c r="Z15" s="246"/>
      <c r="AA15" s="109"/>
      <c r="AB15" s="109"/>
      <c r="AC15" s="109"/>
      <c r="AD15" s="109"/>
      <c r="AE15" s="109"/>
      <c r="AF15" s="246"/>
      <c r="AG15" s="246"/>
      <c r="AH15" s="109"/>
      <c r="AI15" s="109"/>
      <c r="AJ15" s="109"/>
      <c r="AK15" s="109"/>
    </row>
    <row r="16" spans="1:37" ht="13.5">
      <c r="A16" s="232"/>
      <c r="B16" s="207" t="s">
        <v>123</v>
      </c>
      <c r="C16" s="246"/>
      <c r="D16" s="246"/>
      <c r="E16" s="207"/>
      <c r="F16" s="246"/>
      <c r="G16" s="246"/>
      <c r="H16" s="246"/>
      <c r="I16" s="246"/>
      <c r="J16" s="246"/>
      <c r="K16" s="246"/>
      <c r="L16" s="207"/>
      <c r="M16" s="246"/>
      <c r="N16" s="246"/>
      <c r="O16" s="246"/>
      <c r="P16" s="246"/>
      <c r="Q16" s="246"/>
      <c r="R16" s="207"/>
      <c r="S16" s="246"/>
      <c r="T16" s="207"/>
      <c r="U16" s="246"/>
      <c r="V16" s="109"/>
      <c r="W16" s="109"/>
      <c r="X16" s="109"/>
      <c r="Y16" s="246"/>
      <c r="Z16" s="246"/>
      <c r="AA16" s="109"/>
      <c r="AB16" s="109"/>
      <c r="AC16" s="109"/>
      <c r="AD16" s="109"/>
      <c r="AE16" s="109"/>
      <c r="AF16" s="246"/>
      <c r="AG16" s="246"/>
      <c r="AH16" s="109"/>
      <c r="AI16" s="109"/>
      <c r="AJ16" s="109"/>
      <c r="AK16" s="109"/>
    </row>
    <row r="17" spans="1:37" ht="13.5">
      <c r="A17" s="232"/>
      <c r="B17" s="207" t="s">
        <v>226</v>
      </c>
      <c r="C17" s="246"/>
      <c r="D17" s="246"/>
      <c r="E17" s="207"/>
      <c r="F17" s="246"/>
      <c r="G17" s="246"/>
      <c r="H17" s="207"/>
      <c r="I17" s="207"/>
      <c r="J17" s="207"/>
      <c r="K17" s="207"/>
      <c r="L17" s="207"/>
      <c r="M17" s="246"/>
      <c r="N17" s="246"/>
      <c r="O17" s="207"/>
      <c r="P17" s="207"/>
      <c r="Q17" s="207"/>
      <c r="R17" s="207"/>
      <c r="S17" s="207"/>
      <c r="T17" s="207"/>
      <c r="U17" s="207"/>
      <c r="V17" s="109"/>
      <c r="W17" s="109"/>
      <c r="X17" s="109"/>
      <c r="Y17" s="246"/>
      <c r="Z17" s="246"/>
      <c r="AA17" s="109"/>
      <c r="AB17" s="109"/>
      <c r="AC17" s="109"/>
      <c r="AD17" s="109"/>
      <c r="AE17" s="109"/>
      <c r="AF17" s="246"/>
      <c r="AG17" s="246"/>
      <c r="AH17" s="109"/>
      <c r="AI17" s="109"/>
      <c r="AJ17" s="109"/>
      <c r="AK17" s="109"/>
    </row>
    <row r="18" spans="1:37" ht="13.5">
      <c r="A18" s="232"/>
      <c r="B18" s="207" t="s">
        <v>227</v>
      </c>
      <c r="C18" s="246"/>
      <c r="D18" s="246"/>
      <c r="E18" s="207"/>
      <c r="F18" s="246"/>
      <c r="G18" s="246"/>
      <c r="H18" s="207"/>
      <c r="I18" s="207"/>
      <c r="J18" s="207"/>
      <c r="K18" s="207"/>
      <c r="L18" s="207"/>
      <c r="M18" s="246"/>
      <c r="N18" s="246"/>
      <c r="O18" s="207"/>
      <c r="P18" s="207"/>
      <c r="Q18" s="207"/>
      <c r="R18" s="207"/>
      <c r="S18" s="207"/>
      <c r="T18" s="207"/>
      <c r="U18" s="207"/>
      <c r="V18" s="109"/>
      <c r="W18" s="109"/>
      <c r="X18" s="109"/>
      <c r="Y18" s="246"/>
      <c r="Z18" s="246"/>
      <c r="AA18" s="109"/>
      <c r="AB18" s="109"/>
      <c r="AC18" s="109"/>
      <c r="AD18" s="109"/>
      <c r="AE18" s="109"/>
      <c r="AF18" s="246"/>
      <c r="AG18" s="246"/>
      <c r="AH18" s="109"/>
      <c r="AI18" s="109"/>
      <c r="AJ18" s="109"/>
      <c r="AK18" s="109"/>
    </row>
    <row r="19" spans="1:37" ht="13.5">
      <c r="A19" s="232">
        <v>1</v>
      </c>
      <c r="B19" s="104"/>
      <c r="C19" s="232"/>
      <c r="D19" s="232"/>
      <c r="E19" s="104"/>
      <c r="F19" s="232"/>
      <c r="G19" s="232"/>
      <c r="H19" s="104"/>
      <c r="I19" s="104"/>
      <c r="J19" s="104"/>
      <c r="K19" s="246">
        <f>H19+I19+J19</f>
        <v>0</v>
      </c>
      <c r="L19" s="104"/>
      <c r="M19" s="232"/>
      <c r="N19" s="232"/>
      <c r="O19" s="232"/>
      <c r="P19" s="232"/>
      <c r="Q19" s="232"/>
      <c r="R19" s="246">
        <f>O19+P19+Q19</f>
        <v>0</v>
      </c>
      <c r="S19" s="246">
        <f>E19-L19</f>
        <v>0</v>
      </c>
      <c r="T19" s="246">
        <f aca="true" t="shared" si="3" ref="T19:V21">H19-O19</f>
        <v>0</v>
      </c>
      <c r="U19" s="246">
        <f t="shared" si="3"/>
        <v>0</v>
      </c>
      <c r="V19" s="246">
        <f t="shared" si="3"/>
        <v>0</v>
      </c>
      <c r="W19" s="246">
        <f>T19+U19+V19</f>
        <v>0</v>
      </c>
      <c r="X19" s="104"/>
      <c r="Y19" s="232"/>
      <c r="Z19" s="232"/>
      <c r="AA19" s="232"/>
      <c r="AB19" s="232"/>
      <c r="AC19" s="232"/>
      <c r="AD19" s="246">
        <f>AA19+AB19+AC19</f>
        <v>0</v>
      </c>
      <c r="AE19" s="104"/>
      <c r="AF19" s="232"/>
      <c r="AG19" s="232"/>
      <c r="AH19" s="232"/>
      <c r="AI19" s="232"/>
      <c r="AJ19" s="232"/>
      <c r="AK19" s="246">
        <f>AH19+AI19+AJ19</f>
        <v>0</v>
      </c>
    </row>
    <row r="20" spans="1:37" ht="13.5">
      <c r="A20" s="232">
        <v>2</v>
      </c>
      <c r="B20" s="104"/>
      <c r="C20" s="232"/>
      <c r="D20" s="232"/>
      <c r="E20" s="104"/>
      <c r="F20" s="232"/>
      <c r="G20" s="232"/>
      <c r="H20" s="104"/>
      <c r="I20" s="104"/>
      <c r="J20" s="104"/>
      <c r="K20" s="246">
        <f>H20+I20+J20</f>
        <v>0</v>
      </c>
      <c r="L20" s="104"/>
      <c r="M20" s="232"/>
      <c r="N20" s="232"/>
      <c r="O20" s="232"/>
      <c r="P20" s="232"/>
      <c r="Q20" s="232"/>
      <c r="R20" s="246">
        <f>O20+P20+Q20</f>
        <v>0</v>
      </c>
      <c r="S20" s="246">
        <f>E20-L20</f>
        <v>0</v>
      </c>
      <c r="T20" s="246">
        <f t="shared" si="3"/>
        <v>0</v>
      </c>
      <c r="U20" s="246">
        <f t="shared" si="3"/>
        <v>0</v>
      </c>
      <c r="V20" s="246">
        <f t="shared" si="3"/>
        <v>0</v>
      </c>
      <c r="W20" s="246">
        <f>T20+U20+V20</f>
        <v>0</v>
      </c>
      <c r="X20" s="104"/>
      <c r="Y20" s="232"/>
      <c r="Z20" s="232"/>
      <c r="AA20" s="232"/>
      <c r="AB20" s="232"/>
      <c r="AC20" s="232"/>
      <c r="AD20" s="246">
        <f>AA20+AB20+AC20</f>
        <v>0</v>
      </c>
      <c r="AE20" s="104"/>
      <c r="AF20" s="232"/>
      <c r="AG20" s="232"/>
      <c r="AH20" s="232"/>
      <c r="AI20" s="232"/>
      <c r="AJ20" s="232"/>
      <c r="AK20" s="246">
        <f>AH20+AI20+AJ20</f>
        <v>0</v>
      </c>
    </row>
    <row r="21" spans="1:37" ht="13.5">
      <c r="A21" s="232">
        <v>3</v>
      </c>
      <c r="B21" s="247"/>
      <c r="C21" s="232"/>
      <c r="D21" s="232"/>
      <c r="E21" s="104"/>
      <c r="F21" s="232"/>
      <c r="G21" s="232"/>
      <c r="H21" s="104"/>
      <c r="I21" s="104"/>
      <c r="J21" s="104"/>
      <c r="K21" s="246">
        <f>H21+I21+J21</f>
        <v>0</v>
      </c>
      <c r="L21" s="104"/>
      <c r="M21" s="232"/>
      <c r="N21" s="232"/>
      <c r="O21" s="232"/>
      <c r="P21" s="232"/>
      <c r="Q21" s="232"/>
      <c r="R21" s="246">
        <f>O21+P21+Q21</f>
        <v>0</v>
      </c>
      <c r="S21" s="246">
        <f>E21-L21</f>
        <v>0</v>
      </c>
      <c r="T21" s="246">
        <f t="shared" si="3"/>
        <v>0</v>
      </c>
      <c r="U21" s="246">
        <f t="shared" si="3"/>
        <v>0</v>
      </c>
      <c r="V21" s="246">
        <f t="shared" si="3"/>
        <v>0</v>
      </c>
      <c r="W21" s="246">
        <f>T21+U21+V21</f>
        <v>0</v>
      </c>
      <c r="X21" s="104"/>
      <c r="Y21" s="232"/>
      <c r="Z21" s="232"/>
      <c r="AA21" s="232"/>
      <c r="AB21" s="232"/>
      <c r="AC21" s="232"/>
      <c r="AD21" s="246">
        <f>AA21+AB21+AC21</f>
        <v>0</v>
      </c>
      <c r="AE21" s="104"/>
      <c r="AF21" s="232"/>
      <c r="AG21" s="232"/>
      <c r="AH21" s="232"/>
      <c r="AI21" s="232"/>
      <c r="AJ21" s="232"/>
      <c r="AK21" s="246">
        <f>AH21+AI21+AJ21</f>
        <v>0</v>
      </c>
    </row>
    <row r="22" spans="1:37" s="249" customFormat="1" ht="27">
      <c r="A22" s="244"/>
      <c r="B22" s="252" t="s">
        <v>228</v>
      </c>
      <c r="C22" s="248" t="s">
        <v>1</v>
      </c>
      <c r="D22" s="248" t="s">
        <v>1</v>
      </c>
      <c r="E22" s="248">
        <f>SUM(E19:E21)</f>
        <v>0</v>
      </c>
      <c r="F22" s="248" t="s">
        <v>1</v>
      </c>
      <c r="G22" s="248" t="s">
        <v>1</v>
      </c>
      <c r="H22" s="248">
        <f aca="true" t="shared" si="4" ref="H22:Q22">SUM(H19:H21)</f>
        <v>0</v>
      </c>
      <c r="I22" s="248">
        <f t="shared" si="4"/>
        <v>0</v>
      </c>
      <c r="J22" s="248">
        <f t="shared" si="4"/>
        <v>0</v>
      </c>
      <c r="K22" s="248">
        <f t="shared" si="4"/>
        <v>0</v>
      </c>
      <c r="L22" s="248">
        <f>SUM(L19:L21)</f>
        <v>0</v>
      </c>
      <c r="M22" s="248" t="s">
        <v>1</v>
      </c>
      <c r="N22" s="248" t="s">
        <v>1</v>
      </c>
      <c r="O22" s="248">
        <f t="shared" si="4"/>
        <v>0</v>
      </c>
      <c r="P22" s="248">
        <f>SUM(P19:P21)</f>
        <v>0</v>
      </c>
      <c r="Q22" s="248">
        <f t="shared" si="4"/>
        <v>0</v>
      </c>
      <c r="R22" s="248">
        <f aca="true" t="shared" si="5" ref="R22:W22">SUM(R19:R21)</f>
        <v>0</v>
      </c>
      <c r="S22" s="248">
        <f t="shared" si="5"/>
        <v>0</v>
      </c>
      <c r="T22" s="248">
        <f t="shared" si="5"/>
        <v>0</v>
      </c>
      <c r="U22" s="248">
        <f t="shared" si="5"/>
        <v>0</v>
      </c>
      <c r="V22" s="248">
        <f t="shared" si="5"/>
        <v>0</v>
      </c>
      <c r="W22" s="248">
        <f t="shared" si="5"/>
        <v>0</v>
      </c>
      <c r="X22" s="248">
        <f>SUM(X19:X21)</f>
        <v>0</v>
      </c>
      <c r="Y22" s="248" t="s">
        <v>1</v>
      </c>
      <c r="Z22" s="248" t="s">
        <v>1</v>
      </c>
      <c r="AA22" s="248">
        <f aca="true" t="shared" si="6" ref="AA22:AK22">SUM(AA19:AA21)</f>
        <v>0</v>
      </c>
      <c r="AB22" s="248">
        <f t="shared" si="6"/>
        <v>0</v>
      </c>
      <c r="AC22" s="248">
        <f t="shared" si="6"/>
        <v>0</v>
      </c>
      <c r="AD22" s="248">
        <f t="shared" si="6"/>
        <v>0</v>
      </c>
      <c r="AE22" s="248">
        <f>SUM(AE19:AE21)</f>
        <v>0</v>
      </c>
      <c r="AF22" s="248" t="s">
        <v>1</v>
      </c>
      <c r="AG22" s="248" t="s">
        <v>1</v>
      </c>
      <c r="AH22" s="248">
        <f t="shared" si="6"/>
        <v>0</v>
      </c>
      <c r="AI22" s="248">
        <f t="shared" si="6"/>
        <v>0</v>
      </c>
      <c r="AJ22" s="248">
        <f t="shared" si="6"/>
        <v>0</v>
      </c>
      <c r="AK22" s="248">
        <f t="shared" si="6"/>
        <v>0</v>
      </c>
    </row>
    <row r="23" spans="1:37" ht="13.5">
      <c r="A23" s="232"/>
      <c r="B23" s="207" t="s">
        <v>227</v>
      </c>
      <c r="C23" s="246"/>
      <c r="D23" s="246"/>
      <c r="E23" s="207"/>
      <c r="F23" s="246"/>
      <c r="G23" s="246"/>
      <c r="H23" s="207"/>
      <c r="I23" s="207"/>
      <c r="J23" s="207"/>
      <c r="K23" s="207"/>
      <c r="L23" s="207"/>
      <c r="M23" s="246"/>
      <c r="N23" s="246"/>
      <c r="O23" s="207"/>
      <c r="P23" s="207"/>
      <c r="Q23" s="207"/>
      <c r="R23" s="207"/>
      <c r="S23" s="207"/>
      <c r="T23" s="207"/>
      <c r="U23" s="207"/>
      <c r="V23" s="109"/>
      <c r="W23" s="109"/>
      <c r="X23" s="109"/>
      <c r="Y23" s="246"/>
      <c r="Z23" s="246"/>
      <c r="AA23" s="109"/>
      <c r="AB23" s="109"/>
      <c r="AC23" s="109"/>
      <c r="AD23" s="109"/>
      <c r="AE23" s="109"/>
      <c r="AF23" s="246"/>
      <c r="AG23" s="246"/>
      <c r="AH23" s="109"/>
      <c r="AI23" s="109"/>
      <c r="AJ23" s="109"/>
      <c r="AK23" s="109"/>
    </row>
    <row r="24" spans="1:37" ht="13.5">
      <c r="A24" s="232">
        <v>1</v>
      </c>
      <c r="B24" s="104"/>
      <c r="C24" s="232"/>
      <c r="D24" s="232"/>
      <c r="E24" s="104"/>
      <c r="F24" s="232"/>
      <c r="G24" s="232"/>
      <c r="H24" s="104"/>
      <c r="I24" s="104"/>
      <c r="J24" s="104"/>
      <c r="K24" s="246">
        <f>H24+I24+J24</f>
        <v>0</v>
      </c>
      <c r="L24" s="104"/>
      <c r="M24" s="232"/>
      <c r="N24" s="232"/>
      <c r="O24" s="232"/>
      <c r="P24" s="232"/>
      <c r="Q24" s="232"/>
      <c r="R24" s="246">
        <f>O24+P24+Q24</f>
        <v>0</v>
      </c>
      <c r="S24" s="246">
        <f>E24-L24</f>
        <v>0</v>
      </c>
      <c r="T24" s="246">
        <f aca="true" t="shared" si="7" ref="T24:V26">H24-O24</f>
        <v>0</v>
      </c>
      <c r="U24" s="246">
        <f t="shared" si="7"/>
        <v>0</v>
      </c>
      <c r="V24" s="246">
        <f t="shared" si="7"/>
        <v>0</v>
      </c>
      <c r="W24" s="246">
        <f>T24+U24+V24</f>
        <v>0</v>
      </c>
      <c r="X24" s="104"/>
      <c r="Y24" s="232"/>
      <c r="Z24" s="232"/>
      <c r="AA24" s="232"/>
      <c r="AB24" s="232"/>
      <c r="AC24" s="232"/>
      <c r="AD24" s="246">
        <f>AA24+AB24+AC24</f>
        <v>0</v>
      </c>
      <c r="AE24" s="104"/>
      <c r="AF24" s="232"/>
      <c r="AG24" s="232"/>
      <c r="AH24" s="232"/>
      <c r="AI24" s="232"/>
      <c r="AJ24" s="232"/>
      <c r="AK24" s="246">
        <f>AH24+AI24+AJ24</f>
        <v>0</v>
      </c>
    </row>
    <row r="25" spans="1:37" ht="13.5">
      <c r="A25" s="232">
        <v>2</v>
      </c>
      <c r="B25" s="104"/>
      <c r="C25" s="232"/>
      <c r="D25" s="232"/>
      <c r="E25" s="104"/>
      <c r="F25" s="232"/>
      <c r="G25" s="232"/>
      <c r="H25" s="104"/>
      <c r="I25" s="104"/>
      <c r="J25" s="104"/>
      <c r="K25" s="246">
        <f>H25+I25+J25</f>
        <v>0</v>
      </c>
      <c r="L25" s="104"/>
      <c r="M25" s="232"/>
      <c r="N25" s="232"/>
      <c r="O25" s="232"/>
      <c r="P25" s="232"/>
      <c r="Q25" s="232"/>
      <c r="R25" s="246">
        <f>O25+P25+Q25</f>
        <v>0</v>
      </c>
      <c r="S25" s="246">
        <f>E25-L25</f>
        <v>0</v>
      </c>
      <c r="T25" s="246">
        <f t="shared" si="7"/>
        <v>0</v>
      </c>
      <c r="U25" s="246">
        <f t="shared" si="7"/>
        <v>0</v>
      </c>
      <c r="V25" s="246">
        <f t="shared" si="7"/>
        <v>0</v>
      </c>
      <c r="W25" s="246">
        <f>T25+U25+V25</f>
        <v>0</v>
      </c>
      <c r="X25" s="104"/>
      <c r="Y25" s="232"/>
      <c r="Z25" s="232"/>
      <c r="AA25" s="232"/>
      <c r="AB25" s="232"/>
      <c r="AC25" s="232"/>
      <c r="AD25" s="246">
        <f>AA25+AB25+AC25</f>
        <v>0</v>
      </c>
      <c r="AE25" s="104"/>
      <c r="AF25" s="232"/>
      <c r="AG25" s="232"/>
      <c r="AH25" s="232"/>
      <c r="AI25" s="232"/>
      <c r="AJ25" s="232"/>
      <c r="AK25" s="246">
        <f>AH25+AI25+AJ25</f>
        <v>0</v>
      </c>
    </row>
    <row r="26" spans="1:37" ht="13.5">
      <c r="A26" s="232">
        <v>3</v>
      </c>
      <c r="B26" s="247"/>
      <c r="C26" s="232"/>
      <c r="D26" s="232"/>
      <c r="E26" s="104"/>
      <c r="F26" s="232"/>
      <c r="G26" s="232"/>
      <c r="H26" s="104"/>
      <c r="I26" s="104"/>
      <c r="J26" s="104"/>
      <c r="K26" s="246">
        <f>H26+I26+J26</f>
        <v>0</v>
      </c>
      <c r="L26" s="104"/>
      <c r="M26" s="232"/>
      <c r="N26" s="232"/>
      <c r="O26" s="232"/>
      <c r="P26" s="232"/>
      <c r="Q26" s="232"/>
      <c r="R26" s="246">
        <f>O26+P26+Q26</f>
        <v>0</v>
      </c>
      <c r="S26" s="246">
        <f>E26-L26</f>
        <v>0</v>
      </c>
      <c r="T26" s="246">
        <f t="shared" si="7"/>
        <v>0</v>
      </c>
      <c r="U26" s="246">
        <f t="shared" si="7"/>
        <v>0</v>
      </c>
      <c r="V26" s="246">
        <f t="shared" si="7"/>
        <v>0</v>
      </c>
      <c r="W26" s="246">
        <f>T26+U26+V26</f>
        <v>0</v>
      </c>
      <c r="X26" s="104"/>
      <c r="Y26" s="232"/>
      <c r="Z26" s="232"/>
      <c r="AA26" s="232"/>
      <c r="AB26" s="232"/>
      <c r="AC26" s="232"/>
      <c r="AD26" s="246">
        <f>AA26+AB26+AC26</f>
        <v>0</v>
      </c>
      <c r="AE26" s="104"/>
      <c r="AF26" s="232"/>
      <c r="AG26" s="232"/>
      <c r="AH26" s="232"/>
      <c r="AI26" s="232"/>
      <c r="AJ26" s="232"/>
      <c r="AK26" s="246">
        <f>AH26+AI26+AJ26</f>
        <v>0</v>
      </c>
    </row>
    <row r="27" spans="1:37" s="249" customFormat="1" ht="27">
      <c r="A27" s="244"/>
      <c r="B27" s="252" t="s">
        <v>228</v>
      </c>
      <c r="C27" s="248" t="s">
        <v>1</v>
      </c>
      <c r="D27" s="248" t="s">
        <v>1</v>
      </c>
      <c r="E27" s="248">
        <f>SUM(E24:E26)</f>
        <v>0</v>
      </c>
      <c r="F27" s="248" t="s">
        <v>1</v>
      </c>
      <c r="G27" s="248" t="s">
        <v>1</v>
      </c>
      <c r="H27" s="248">
        <f aca="true" t="shared" si="8" ref="H27:Q27">SUM(H24:H26)</f>
        <v>0</v>
      </c>
      <c r="I27" s="248">
        <f t="shared" si="8"/>
        <v>0</v>
      </c>
      <c r="J27" s="248">
        <f t="shared" si="8"/>
        <v>0</v>
      </c>
      <c r="K27" s="248">
        <f t="shared" si="8"/>
        <v>0</v>
      </c>
      <c r="L27" s="248">
        <f>SUM(L24:L26)</f>
        <v>0</v>
      </c>
      <c r="M27" s="248" t="s">
        <v>1</v>
      </c>
      <c r="N27" s="248" t="s">
        <v>1</v>
      </c>
      <c r="O27" s="248">
        <f t="shared" si="8"/>
        <v>0</v>
      </c>
      <c r="P27" s="248">
        <f>SUM(P24:P26)</f>
        <v>0</v>
      </c>
      <c r="Q27" s="248">
        <f t="shared" si="8"/>
        <v>0</v>
      </c>
      <c r="R27" s="248">
        <f aca="true" t="shared" si="9" ref="R27:W27">SUM(R24:R26)</f>
        <v>0</v>
      </c>
      <c r="S27" s="248">
        <f t="shared" si="9"/>
        <v>0</v>
      </c>
      <c r="T27" s="248">
        <f t="shared" si="9"/>
        <v>0</v>
      </c>
      <c r="U27" s="248">
        <f t="shared" si="9"/>
        <v>0</v>
      </c>
      <c r="V27" s="248">
        <f t="shared" si="9"/>
        <v>0</v>
      </c>
      <c r="W27" s="248">
        <f t="shared" si="9"/>
        <v>0</v>
      </c>
      <c r="X27" s="248">
        <f>SUM(X24:X26)</f>
        <v>0</v>
      </c>
      <c r="Y27" s="248" t="s">
        <v>1</v>
      </c>
      <c r="Z27" s="248" t="s">
        <v>1</v>
      </c>
      <c r="AA27" s="248">
        <f aca="true" t="shared" si="10" ref="AA27:AK27">SUM(AA24:AA26)</f>
        <v>0</v>
      </c>
      <c r="AB27" s="248">
        <f t="shared" si="10"/>
        <v>0</v>
      </c>
      <c r="AC27" s="248">
        <f t="shared" si="10"/>
        <v>0</v>
      </c>
      <c r="AD27" s="248">
        <f t="shared" si="10"/>
        <v>0</v>
      </c>
      <c r="AE27" s="248">
        <f>SUM(AE24:AE26)</f>
        <v>0</v>
      </c>
      <c r="AF27" s="248" t="s">
        <v>1</v>
      </c>
      <c r="AG27" s="248" t="s">
        <v>1</v>
      </c>
      <c r="AH27" s="248">
        <f t="shared" si="10"/>
        <v>0</v>
      </c>
      <c r="AI27" s="248">
        <f t="shared" si="10"/>
        <v>0</v>
      </c>
      <c r="AJ27" s="248">
        <f t="shared" si="10"/>
        <v>0</v>
      </c>
      <c r="AK27" s="248">
        <f t="shared" si="10"/>
        <v>0</v>
      </c>
    </row>
    <row r="28" spans="1:37" s="249" customFormat="1" ht="27">
      <c r="A28" s="244"/>
      <c r="B28" s="252" t="s">
        <v>260</v>
      </c>
      <c r="C28" s="248" t="s">
        <v>1</v>
      </c>
      <c r="D28" s="248" t="s">
        <v>1</v>
      </c>
      <c r="E28" s="248">
        <f>E22+E27</f>
        <v>0</v>
      </c>
      <c r="F28" s="248" t="s">
        <v>1</v>
      </c>
      <c r="G28" s="248" t="s">
        <v>1</v>
      </c>
      <c r="H28" s="248">
        <f aca="true" t="shared" si="11" ref="H28:Q28">H22+H27</f>
        <v>0</v>
      </c>
      <c r="I28" s="248">
        <f t="shared" si="11"/>
        <v>0</v>
      </c>
      <c r="J28" s="248">
        <f t="shared" si="11"/>
        <v>0</v>
      </c>
      <c r="K28" s="248">
        <f t="shared" si="11"/>
        <v>0</v>
      </c>
      <c r="L28" s="248">
        <f>L22+L27</f>
        <v>0</v>
      </c>
      <c r="M28" s="248" t="s">
        <v>1</v>
      </c>
      <c r="N28" s="248" t="s">
        <v>1</v>
      </c>
      <c r="O28" s="248">
        <f t="shared" si="11"/>
        <v>0</v>
      </c>
      <c r="P28" s="248">
        <f>P22+P27</f>
        <v>0</v>
      </c>
      <c r="Q28" s="248">
        <f t="shared" si="11"/>
        <v>0</v>
      </c>
      <c r="R28" s="248">
        <f aca="true" t="shared" si="12" ref="R28:W28">R22+R27</f>
        <v>0</v>
      </c>
      <c r="S28" s="248">
        <f t="shared" si="12"/>
        <v>0</v>
      </c>
      <c r="T28" s="248">
        <f t="shared" si="12"/>
        <v>0</v>
      </c>
      <c r="U28" s="248">
        <f t="shared" si="12"/>
        <v>0</v>
      </c>
      <c r="V28" s="248">
        <f t="shared" si="12"/>
        <v>0</v>
      </c>
      <c r="W28" s="248">
        <f t="shared" si="12"/>
        <v>0</v>
      </c>
      <c r="X28" s="248">
        <f>X22+X27</f>
        <v>0</v>
      </c>
      <c r="Y28" s="248" t="s">
        <v>1</v>
      </c>
      <c r="Z28" s="248" t="s">
        <v>1</v>
      </c>
      <c r="AA28" s="248">
        <f aca="true" t="shared" si="13" ref="AA28:AK28">AA22+AA27</f>
        <v>0</v>
      </c>
      <c r="AB28" s="248">
        <f t="shared" si="13"/>
        <v>0</v>
      </c>
      <c r="AC28" s="248">
        <f t="shared" si="13"/>
        <v>0</v>
      </c>
      <c r="AD28" s="248">
        <f t="shared" si="13"/>
        <v>0</v>
      </c>
      <c r="AE28" s="248">
        <f>AE22+AE27</f>
        <v>0</v>
      </c>
      <c r="AF28" s="248" t="s">
        <v>1</v>
      </c>
      <c r="AG28" s="248" t="s">
        <v>1</v>
      </c>
      <c r="AH28" s="248">
        <f t="shared" si="13"/>
        <v>0</v>
      </c>
      <c r="AI28" s="248">
        <f t="shared" si="13"/>
        <v>0</v>
      </c>
      <c r="AJ28" s="248">
        <f t="shared" si="13"/>
        <v>0</v>
      </c>
      <c r="AK28" s="248">
        <f t="shared" si="13"/>
        <v>0</v>
      </c>
    </row>
    <row r="29" spans="1:37" ht="13.5">
      <c r="A29" s="232"/>
      <c r="B29" s="247"/>
      <c r="C29" s="246"/>
      <c r="D29" s="246"/>
      <c r="E29" s="247"/>
      <c r="F29" s="246"/>
      <c r="G29" s="246"/>
      <c r="H29" s="246"/>
      <c r="I29" s="246"/>
      <c r="J29" s="246"/>
      <c r="K29" s="246"/>
      <c r="L29" s="247"/>
      <c r="M29" s="246"/>
      <c r="N29" s="246"/>
      <c r="O29" s="246"/>
      <c r="P29" s="246"/>
      <c r="Q29" s="246"/>
      <c r="R29" s="247"/>
      <c r="S29" s="246"/>
      <c r="T29" s="247"/>
      <c r="U29" s="246"/>
      <c r="V29" s="109"/>
      <c r="W29" s="109"/>
      <c r="X29" s="109"/>
      <c r="Y29" s="246"/>
      <c r="Z29" s="246"/>
      <c r="AA29" s="109"/>
      <c r="AB29" s="109"/>
      <c r="AC29" s="109"/>
      <c r="AD29" s="109"/>
      <c r="AE29" s="109"/>
      <c r="AF29" s="246"/>
      <c r="AG29" s="246"/>
      <c r="AH29" s="109"/>
      <c r="AI29" s="109"/>
      <c r="AJ29" s="109"/>
      <c r="AK29" s="109"/>
    </row>
    <row r="30" spans="1:37" ht="13.5">
      <c r="A30" s="232"/>
      <c r="B30" s="104"/>
      <c r="C30" s="246"/>
      <c r="D30" s="246"/>
      <c r="E30" s="104"/>
      <c r="F30" s="246"/>
      <c r="G30" s="246"/>
      <c r="H30" s="246"/>
      <c r="I30" s="246"/>
      <c r="J30" s="246"/>
      <c r="K30" s="246"/>
      <c r="L30" s="104"/>
      <c r="M30" s="246"/>
      <c r="N30" s="246"/>
      <c r="O30" s="246"/>
      <c r="P30" s="246"/>
      <c r="Q30" s="246"/>
      <c r="R30" s="104"/>
      <c r="S30" s="246"/>
      <c r="T30" s="104"/>
      <c r="U30" s="246"/>
      <c r="V30" s="109"/>
      <c r="W30" s="109"/>
      <c r="X30" s="109"/>
      <c r="Y30" s="246"/>
      <c r="Z30" s="246"/>
      <c r="AA30" s="109"/>
      <c r="AB30" s="109"/>
      <c r="AC30" s="109"/>
      <c r="AD30" s="109"/>
      <c r="AE30" s="109"/>
      <c r="AF30" s="246"/>
      <c r="AG30" s="246"/>
      <c r="AH30" s="109"/>
      <c r="AI30" s="109"/>
      <c r="AJ30" s="109"/>
      <c r="AK30" s="109"/>
    </row>
    <row r="31" spans="1:37" ht="54">
      <c r="A31" s="244" t="s">
        <v>4</v>
      </c>
      <c r="B31" s="245" t="s">
        <v>421</v>
      </c>
      <c r="C31" s="246"/>
      <c r="D31" s="246"/>
      <c r="E31" s="245"/>
      <c r="F31" s="246"/>
      <c r="G31" s="246"/>
      <c r="H31" s="246"/>
      <c r="I31" s="246"/>
      <c r="J31" s="246"/>
      <c r="K31" s="246"/>
      <c r="L31" s="245"/>
      <c r="M31" s="246"/>
      <c r="N31" s="246"/>
      <c r="O31" s="246"/>
      <c r="P31" s="246"/>
      <c r="Q31" s="246"/>
      <c r="R31" s="245"/>
      <c r="S31" s="246"/>
      <c r="T31" s="245"/>
      <c r="U31" s="246"/>
      <c r="V31" s="109"/>
      <c r="W31" s="109"/>
      <c r="X31" s="109"/>
      <c r="Y31" s="246"/>
      <c r="Z31" s="246"/>
      <c r="AA31" s="109"/>
      <c r="AB31" s="109"/>
      <c r="AC31" s="109"/>
      <c r="AD31" s="109"/>
      <c r="AE31" s="109"/>
      <c r="AF31" s="246"/>
      <c r="AG31" s="246"/>
      <c r="AH31" s="109"/>
      <c r="AI31" s="109"/>
      <c r="AJ31" s="109"/>
      <c r="AK31" s="109"/>
    </row>
    <row r="32" spans="1:37" ht="13.5">
      <c r="A32" s="232"/>
      <c r="B32" s="207" t="s">
        <v>123</v>
      </c>
      <c r="C32" s="246"/>
      <c r="D32" s="246"/>
      <c r="E32" s="207"/>
      <c r="F32" s="246"/>
      <c r="G32" s="246"/>
      <c r="H32" s="246"/>
      <c r="I32" s="246"/>
      <c r="J32" s="246"/>
      <c r="K32" s="246"/>
      <c r="L32" s="207"/>
      <c r="M32" s="246"/>
      <c r="N32" s="246"/>
      <c r="O32" s="246"/>
      <c r="P32" s="246"/>
      <c r="Q32" s="246"/>
      <c r="R32" s="207"/>
      <c r="S32" s="246"/>
      <c r="T32" s="207"/>
      <c r="U32" s="246"/>
      <c r="V32" s="109"/>
      <c r="W32" s="109"/>
      <c r="X32" s="109"/>
      <c r="Y32" s="246"/>
      <c r="Z32" s="246"/>
      <c r="AA32" s="109"/>
      <c r="AB32" s="109"/>
      <c r="AC32" s="109"/>
      <c r="AD32" s="109"/>
      <c r="AE32" s="109"/>
      <c r="AF32" s="246"/>
      <c r="AG32" s="246"/>
      <c r="AH32" s="109"/>
      <c r="AI32" s="109"/>
      <c r="AJ32" s="109"/>
      <c r="AK32" s="109"/>
    </row>
    <row r="33" spans="1:37" ht="13.5">
      <c r="A33" s="232">
        <v>1</v>
      </c>
      <c r="B33" s="104"/>
      <c r="C33" s="246"/>
      <c r="D33" s="246" t="s">
        <v>1</v>
      </c>
      <c r="E33" s="104"/>
      <c r="F33" s="246" t="s">
        <v>1</v>
      </c>
      <c r="G33" s="246"/>
      <c r="H33" s="232"/>
      <c r="I33" s="232"/>
      <c r="J33" s="232"/>
      <c r="K33" s="246">
        <f>H33+I33+J33</f>
        <v>0</v>
      </c>
      <c r="L33" s="104"/>
      <c r="M33" s="246" t="s">
        <v>1</v>
      </c>
      <c r="N33" s="246"/>
      <c r="O33" s="232"/>
      <c r="P33" s="232"/>
      <c r="Q33" s="232"/>
      <c r="R33" s="246">
        <f>O33+P33+Q33</f>
        <v>0</v>
      </c>
      <c r="S33" s="246">
        <f>E33-L33</f>
        <v>0</v>
      </c>
      <c r="T33" s="246">
        <f aca="true" t="shared" si="14" ref="T33:V35">H33-O33</f>
        <v>0</v>
      </c>
      <c r="U33" s="246">
        <f t="shared" si="14"/>
        <v>0</v>
      </c>
      <c r="V33" s="246">
        <f t="shared" si="14"/>
        <v>0</v>
      </c>
      <c r="W33" s="246">
        <f>T33+U33+V33</f>
        <v>0</v>
      </c>
      <c r="X33" s="104"/>
      <c r="Y33" s="246" t="s">
        <v>1</v>
      </c>
      <c r="Z33" s="246"/>
      <c r="AA33" s="232"/>
      <c r="AB33" s="232"/>
      <c r="AC33" s="232"/>
      <c r="AD33" s="246">
        <f>AA33+AB33+AC33</f>
        <v>0</v>
      </c>
      <c r="AE33" s="104"/>
      <c r="AF33" s="246" t="s">
        <v>1</v>
      </c>
      <c r="AG33" s="246"/>
      <c r="AH33" s="232"/>
      <c r="AI33" s="232"/>
      <c r="AJ33" s="232"/>
      <c r="AK33" s="246">
        <f>AH33+AI33+AJ33</f>
        <v>0</v>
      </c>
    </row>
    <row r="34" spans="1:37" ht="13.5">
      <c r="A34" s="232">
        <v>2</v>
      </c>
      <c r="B34" s="104"/>
      <c r="C34" s="246"/>
      <c r="D34" s="246" t="s">
        <v>1</v>
      </c>
      <c r="E34" s="104"/>
      <c r="F34" s="246" t="s">
        <v>1</v>
      </c>
      <c r="G34" s="246"/>
      <c r="H34" s="232"/>
      <c r="I34" s="232"/>
      <c r="J34" s="232"/>
      <c r="K34" s="246">
        <f>H34+I34+J34</f>
        <v>0</v>
      </c>
      <c r="L34" s="104"/>
      <c r="M34" s="246" t="s">
        <v>1</v>
      </c>
      <c r="N34" s="246"/>
      <c r="O34" s="232"/>
      <c r="P34" s="232"/>
      <c r="Q34" s="232"/>
      <c r="R34" s="246">
        <f>O34+P34+Q34</f>
        <v>0</v>
      </c>
      <c r="S34" s="246">
        <f>E34-L34</f>
        <v>0</v>
      </c>
      <c r="T34" s="246">
        <f t="shared" si="14"/>
        <v>0</v>
      </c>
      <c r="U34" s="246">
        <f t="shared" si="14"/>
        <v>0</v>
      </c>
      <c r="V34" s="246">
        <f t="shared" si="14"/>
        <v>0</v>
      </c>
      <c r="W34" s="246">
        <f>T34+U34+V34</f>
        <v>0</v>
      </c>
      <c r="X34" s="104"/>
      <c r="Y34" s="246" t="s">
        <v>1</v>
      </c>
      <c r="Z34" s="246"/>
      <c r="AA34" s="232"/>
      <c r="AB34" s="232"/>
      <c r="AC34" s="232"/>
      <c r="AD34" s="246">
        <f>AA34+AB34+AC34</f>
        <v>0</v>
      </c>
      <c r="AE34" s="104"/>
      <c r="AF34" s="246" t="s">
        <v>1</v>
      </c>
      <c r="AG34" s="246"/>
      <c r="AH34" s="232"/>
      <c r="AI34" s="232"/>
      <c r="AJ34" s="232"/>
      <c r="AK34" s="246">
        <f>AH34+AI34+AJ34</f>
        <v>0</v>
      </c>
    </row>
    <row r="35" spans="1:37" ht="13.5">
      <c r="A35" s="232">
        <v>3</v>
      </c>
      <c r="B35" s="104"/>
      <c r="C35" s="246"/>
      <c r="D35" s="246" t="s">
        <v>1</v>
      </c>
      <c r="E35" s="104"/>
      <c r="F35" s="246" t="s">
        <v>1</v>
      </c>
      <c r="G35" s="246"/>
      <c r="H35" s="232"/>
      <c r="I35" s="232"/>
      <c r="J35" s="232"/>
      <c r="K35" s="246">
        <f>H35+I35+J35</f>
        <v>0</v>
      </c>
      <c r="L35" s="104"/>
      <c r="M35" s="246" t="s">
        <v>1</v>
      </c>
      <c r="N35" s="246"/>
      <c r="O35" s="232"/>
      <c r="P35" s="232"/>
      <c r="Q35" s="232"/>
      <c r="R35" s="246">
        <f>O35+P35+Q35</f>
        <v>0</v>
      </c>
      <c r="S35" s="246">
        <f>E35-L35</f>
        <v>0</v>
      </c>
      <c r="T35" s="246">
        <f t="shared" si="14"/>
        <v>0</v>
      </c>
      <c r="U35" s="246">
        <f t="shared" si="14"/>
        <v>0</v>
      </c>
      <c r="V35" s="246">
        <f t="shared" si="14"/>
        <v>0</v>
      </c>
      <c r="W35" s="246">
        <f>T35+U35+V35</f>
        <v>0</v>
      </c>
      <c r="X35" s="104"/>
      <c r="Y35" s="246" t="s">
        <v>1</v>
      </c>
      <c r="Z35" s="246"/>
      <c r="AA35" s="232"/>
      <c r="AB35" s="232"/>
      <c r="AC35" s="232"/>
      <c r="AD35" s="246">
        <f>AA35+AB35+AC35</f>
        <v>0</v>
      </c>
      <c r="AE35" s="104"/>
      <c r="AF35" s="246" t="s">
        <v>1</v>
      </c>
      <c r="AG35" s="246"/>
      <c r="AH35" s="232"/>
      <c r="AI35" s="232"/>
      <c r="AJ35" s="232"/>
      <c r="AK35" s="246">
        <f>AH35+AI35+AJ35</f>
        <v>0</v>
      </c>
    </row>
    <row r="36" spans="1:37" s="249" customFormat="1" ht="14.25">
      <c r="A36" s="244"/>
      <c r="B36" s="247" t="s">
        <v>110</v>
      </c>
      <c r="C36" s="248" t="s">
        <v>1</v>
      </c>
      <c r="D36" s="248" t="s">
        <v>1</v>
      </c>
      <c r="E36" s="248">
        <f>SUM(E33:E35)</f>
        <v>0</v>
      </c>
      <c r="F36" s="248" t="s">
        <v>1</v>
      </c>
      <c r="G36" s="248" t="s">
        <v>1</v>
      </c>
      <c r="H36" s="248">
        <f aca="true" t="shared" si="15" ref="H36:Q36">SUM(H33:H35)</f>
        <v>0</v>
      </c>
      <c r="I36" s="248">
        <f t="shared" si="15"/>
        <v>0</v>
      </c>
      <c r="J36" s="248">
        <f t="shared" si="15"/>
        <v>0</v>
      </c>
      <c r="K36" s="248">
        <f t="shared" si="15"/>
        <v>0</v>
      </c>
      <c r="L36" s="248">
        <f>SUM(L33:L35)</f>
        <v>0</v>
      </c>
      <c r="M36" s="248" t="s">
        <v>1</v>
      </c>
      <c r="N36" s="248" t="s">
        <v>1</v>
      </c>
      <c r="O36" s="248">
        <f t="shared" si="15"/>
        <v>0</v>
      </c>
      <c r="P36" s="248">
        <f>SUM(P33:P35)</f>
        <v>0</v>
      </c>
      <c r="Q36" s="248">
        <f t="shared" si="15"/>
        <v>0</v>
      </c>
      <c r="R36" s="248">
        <f aca="true" t="shared" si="16" ref="R36:W36">SUM(R33:R35)</f>
        <v>0</v>
      </c>
      <c r="S36" s="248">
        <f t="shared" si="16"/>
        <v>0</v>
      </c>
      <c r="T36" s="248">
        <f t="shared" si="16"/>
        <v>0</v>
      </c>
      <c r="U36" s="248">
        <f t="shared" si="16"/>
        <v>0</v>
      </c>
      <c r="V36" s="248">
        <f t="shared" si="16"/>
        <v>0</v>
      </c>
      <c r="W36" s="248">
        <f t="shared" si="16"/>
        <v>0</v>
      </c>
      <c r="X36" s="248">
        <f>SUM(X33:X35)</f>
        <v>0</v>
      </c>
      <c r="Y36" s="248" t="s">
        <v>1</v>
      </c>
      <c r="Z36" s="248" t="s">
        <v>1</v>
      </c>
      <c r="AA36" s="248">
        <f aca="true" t="shared" si="17" ref="AA36:AK36">SUM(AA33:AA35)</f>
        <v>0</v>
      </c>
      <c r="AB36" s="248">
        <f t="shared" si="17"/>
        <v>0</v>
      </c>
      <c r="AC36" s="248">
        <f t="shared" si="17"/>
        <v>0</v>
      </c>
      <c r="AD36" s="248">
        <f t="shared" si="17"/>
        <v>0</v>
      </c>
      <c r="AE36" s="248">
        <f>SUM(AE33:AE35)</f>
        <v>0</v>
      </c>
      <c r="AF36" s="248" t="s">
        <v>1</v>
      </c>
      <c r="AG36" s="248" t="s">
        <v>1</v>
      </c>
      <c r="AH36" s="248">
        <f t="shared" si="17"/>
        <v>0</v>
      </c>
      <c r="AI36" s="248">
        <f t="shared" si="17"/>
        <v>0</v>
      </c>
      <c r="AJ36" s="248">
        <f t="shared" si="17"/>
        <v>0</v>
      </c>
      <c r="AK36" s="248">
        <f t="shared" si="17"/>
        <v>0</v>
      </c>
    </row>
    <row r="37" spans="1:37" ht="13.5">
      <c r="A37" s="232"/>
      <c r="B37" s="104"/>
      <c r="C37" s="246"/>
      <c r="D37" s="246"/>
      <c r="E37" s="104"/>
      <c r="F37" s="246"/>
      <c r="G37" s="246"/>
      <c r="H37" s="104"/>
      <c r="I37" s="104"/>
      <c r="J37" s="104"/>
      <c r="K37" s="104"/>
      <c r="L37" s="104"/>
      <c r="M37" s="246"/>
      <c r="N37" s="246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246"/>
      <c r="Z37" s="246"/>
      <c r="AA37" s="104"/>
      <c r="AB37" s="104"/>
      <c r="AC37" s="104"/>
      <c r="AD37" s="104"/>
      <c r="AE37" s="104"/>
      <c r="AF37" s="246"/>
      <c r="AG37" s="246"/>
      <c r="AH37" s="104"/>
      <c r="AI37" s="104"/>
      <c r="AJ37" s="104"/>
      <c r="AK37" s="104"/>
    </row>
    <row r="38" spans="1:37" s="249" customFormat="1" ht="27">
      <c r="A38" s="244"/>
      <c r="B38" s="245" t="s">
        <v>261</v>
      </c>
      <c r="C38" s="248" t="s">
        <v>1</v>
      </c>
      <c r="D38" s="248" t="s">
        <v>1</v>
      </c>
      <c r="E38" s="248">
        <f>E13+E28+E36</f>
        <v>0</v>
      </c>
      <c r="F38" s="248" t="s">
        <v>1</v>
      </c>
      <c r="G38" s="248" t="s">
        <v>1</v>
      </c>
      <c r="H38" s="248">
        <f aca="true" t="shared" si="18" ref="H38:W38">H13+H28+H36</f>
        <v>0</v>
      </c>
      <c r="I38" s="248">
        <f t="shared" si="18"/>
        <v>0</v>
      </c>
      <c r="J38" s="248">
        <f t="shared" si="18"/>
        <v>0</v>
      </c>
      <c r="K38" s="248">
        <f t="shared" si="18"/>
        <v>0</v>
      </c>
      <c r="L38" s="248">
        <f>L13+L28+L36</f>
        <v>0</v>
      </c>
      <c r="M38" s="248" t="s">
        <v>1</v>
      </c>
      <c r="N38" s="248" t="s">
        <v>1</v>
      </c>
      <c r="O38" s="248">
        <f t="shared" si="18"/>
        <v>0</v>
      </c>
      <c r="P38" s="248">
        <f>P13+P28+P36</f>
        <v>0</v>
      </c>
      <c r="Q38" s="248">
        <f t="shared" si="18"/>
        <v>0</v>
      </c>
      <c r="R38" s="248">
        <f t="shared" si="18"/>
        <v>0</v>
      </c>
      <c r="S38" s="248">
        <f t="shared" si="18"/>
        <v>0</v>
      </c>
      <c r="T38" s="248">
        <f t="shared" si="18"/>
        <v>0</v>
      </c>
      <c r="U38" s="248">
        <f t="shared" si="18"/>
        <v>0</v>
      </c>
      <c r="V38" s="248">
        <f t="shared" si="18"/>
        <v>0</v>
      </c>
      <c r="W38" s="248">
        <f t="shared" si="18"/>
        <v>0</v>
      </c>
      <c r="X38" s="248">
        <f>X13+X28+X36</f>
        <v>0</v>
      </c>
      <c r="Y38" s="248" t="s">
        <v>1</v>
      </c>
      <c r="Z38" s="248" t="s">
        <v>1</v>
      </c>
      <c r="AA38" s="248">
        <f aca="true" t="shared" si="19" ref="AA38:AK38">AA13+AA28+AA36</f>
        <v>0</v>
      </c>
      <c r="AB38" s="248">
        <f t="shared" si="19"/>
        <v>0</v>
      </c>
      <c r="AC38" s="248">
        <f t="shared" si="19"/>
        <v>0</v>
      </c>
      <c r="AD38" s="248">
        <f t="shared" si="19"/>
        <v>0</v>
      </c>
      <c r="AE38" s="248">
        <f>AE13+AE28+AE36</f>
        <v>0</v>
      </c>
      <c r="AF38" s="248" t="s">
        <v>1</v>
      </c>
      <c r="AG38" s="248" t="s">
        <v>1</v>
      </c>
      <c r="AH38" s="248">
        <f t="shared" si="19"/>
        <v>0</v>
      </c>
      <c r="AI38" s="248">
        <f t="shared" si="19"/>
        <v>0</v>
      </c>
      <c r="AJ38" s="248">
        <f t="shared" si="19"/>
        <v>0</v>
      </c>
      <c r="AK38" s="248">
        <f t="shared" si="19"/>
        <v>0</v>
      </c>
    </row>
    <row r="39" spans="1:33" s="16" customFormat="1" ht="12.75">
      <c r="A39" s="43"/>
      <c r="B39" s="253"/>
      <c r="C39" s="254"/>
      <c r="D39" s="43"/>
      <c r="E39" s="253"/>
      <c r="F39" s="43"/>
      <c r="G39" s="43"/>
      <c r="H39" s="43"/>
      <c r="I39" s="43"/>
      <c r="J39" s="43"/>
      <c r="K39" s="43"/>
      <c r="L39" s="253"/>
      <c r="M39" s="43"/>
      <c r="N39" s="43"/>
      <c r="O39" s="43" t="s">
        <v>0</v>
      </c>
      <c r="P39" s="43"/>
      <c r="Q39" s="43"/>
      <c r="R39" s="253"/>
      <c r="S39" s="43" t="s">
        <v>0</v>
      </c>
      <c r="T39" s="253"/>
      <c r="U39" s="43" t="s">
        <v>0</v>
      </c>
      <c r="Y39" s="43"/>
      <c r="Z39" s="43"/>
      <c r="AF39" s="43"/>
      <c r="AG39" s="43"/>
    </row>
    <row r="40" s="21" customFormat="1" ht="13.5">
      <c r="A40" s="20"/>
    </row>
    <row r="41" ht="13.5">
      <c r="B41" s="5" t="s">
        <v>230</v>
      </c>
    </row>
    <row r="42" spans="2:7" ht="27.75" customHeight="1">
      <c r="B42" s="191" t="s">
        <v>420</v>
      </c>
      <c r="C42" s="191"/>
      <c r="D42" s="324"/>
      <c r="E42" s="324"/>
      <c r="F42" s="324"/>
      <c r="G42" s="324"/>
    </row>
    <row r="43" spans="2:9" ht="37.5" customHeight="1">
      <c r="B43" s="963" t="s">
        <v>419</v>
      </c>
      <c r="C43" s="964"/>
      <c r="D43" s="964"/>
      <c r="E43" s="964"/>
      <c r="F43" s="964"/>
      <c r="G43" s="964"/>
      <c r="H43" s="964"/>
      <c r="I43" s="964"/>
    </row>
    <row r="44" spans="2:7" ht="18" customHeight="1">
      <c r="B44" s="592" t="s">
        <v>486</v>
      </c>
      <c r="C44" s="324"/>
      <c r="D44" s="324"/>
      <c r="E44" s="324"/>
      <c r="F44" s="324"/>
      <c r="G44" s="324"/>
    </row>
    <row r="45" spans="1:8" s="21" customFormat="1" ht="33.75" customHeight="1">
      <c r="A45" s="20"/>
      <c r="B45" s="965" t="s">
        <v>497</v>
      </c>
      <c r="C45" s="965"/>
      <c r="D45" s="965"/>
      <c r="E45" s="965"/>
      <c r="F45" s="965"/>
      <c r="G45" s="965"/>
      <c r="H45" s="965"/>
    </row>
    <row r="46" s="21" customFormat="1" ht="13.5">
      <c r="A46" s="20"/>
    </row>
    <row r="47" s="21" customFormat="1" ht="13.5">
      <c r="A47" s="20"/>
    </row>
  </sheetData>
  <sheetProtection/>
  <mergeCells count="3">
    <mergeCell ref="S5:W5"/>
    <mergeCell ref="B43:I43"/>
    <mergeCell ref="B45:H45"/>
  </mergeCells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BB41"/>
  <sheetViews>
    <sheetView zoomScalePageLayoutView="0" workbookViewId="0" topLeftCell="A7">
      <selection activeCell="B8" sqref="B8"/>
    </sheetView>
  </sheetViews>
  <sheetFormatPr defaultColWidth="9.140625" defaultRowHeight="12.75"/>
  <cols>
    <col min="1" max="1" width="3.57421875" style="33" customWidth="1"/>
    <col min="2" max="2" width="31.8515625" style="33" customWidth="1"/>
    <col min="3" max="3" width="10.57421875" style="33" bestFit="1" customWidth="1"/>
    <col min="4" max="5" width="9.140625" style="33" bestFit="1" customWidth="1"/>
    <col min="6" max="6" width="12.57421875" style="33" customWidth="1"/>
    <col min="7" max="7" width="12.57421875" style="21" customWidth="1"/>
    <col min="8" max="8" width="8.57421875" style="332" bestFit="1" customWidth="1"/>
    <col min="9" max="9" width="12.57421875" style="33" customWidth="1"/>
    <col min="10" max="11" width="12.57421875" style="374" customWidth="1"/>
    <col min="12" max="12" width="16.140625" style="33" customWidth="1"/>
    <col min="13" max="13" width="13.57421875" style="33" customWidth="1"/>
    <col min="14" max="14" width="15.421875" style="33" customWidth="1"/>
    <col min="15" max="15" width="12.57421875" style="33" customWidth="1"/>
    <col min="16" max="16" width="14.140625" style="33" bestFit="1" customWidth="1"/>
    <col min="17" max="17" width="10.7109375" style="33" bestFit="1" customWidth="1"/>
    <col min="18" max="18" width="13.28125" style="33" bestFit="1" customWidth="1"/>
    <col min="19" max="19" width="11.28125" style="33" bestFit="1" customWidth="1"/>
    <col min="20" max="20" width="8.57421875" style="33" bestFit="1" customWidth="1"/>
    <col min="21" max="21" width="11.140625" style="33" bestFit="1" customWidth="1"/>
    <col min="22" max="22" width="12.140625" style="374" customWidth="1"/>
    <col min="23" max="23" width="10.8515625" style="374" customWidth="1"/>
    <col min="24" max="24" width="13.57421875" style="33" customWidth="1"/>
    <col min="25" max="25" width="10.57421875" style="33" customWidth="1"/>
    <col min="26" max="26" width="11.57421875" style="33" customWidth="1"/>
    <col min="27" max="27" width="9.8515625" style="33" bestFit="1" customWidth="1"/>
    <col min="28" max="28" width="10.28125" style="33" bestFit="1" customWidth="1"/>
    <col min="29" max="29" width="11.140625" style="33" bestFit="1" customWidth="1"/>
    <col min="30" max="30" width="13.00390625" style="33" bestFit="1" customWidth="1"/>
    <col min="31" max="31" width="12.8515625" style="33" bestFit="1" customWidth="1"/>
    <col min="32" max="33" width="12.8515625" style="33" customWidth="1"/>
    <col min="34" max="34" width="14.140625" style="33" bestFit="1" customWidth="1"/>
    <col min="35" max="35" width="11.140625" style="332" bestFit="1" customWidth="1"/>
    <col min="36" max="36" width="11.140625" style="332" customWidth="1"/>
    <col min="37" max="37" width="11.8515625" style="332" customWidth="1"/>
    <col min="38" max="39" width="11.140625" style="332" customWidth="1"/>
    <col min="40" max="40" width="13.8515625" style="332" bestFit="1" customWidth="1"/>
    <col min="41" max="41" width="13.8515625" style="332" customWidth="1"/>
    <col min="42" max="42" width="15.140625" style="332" customWidth="1"/>
    <col min="43" max="43" width="13.57421875" style="332" bestFit="1" customWidth="1"/>
    <col min="44" max="44" width="13.8515625" style="332" bestFit="1" customWidth="1"/>
    <col min="45" max="45" width="11.140625" style="332" bestFit="1" customWidth="1"/>
    <col min="46" max="46" width="11.140625" style="332" customWidth="1"/>
    <col min="47" max="47" width="11.140625" style="332" bestFit="1" customWidth="1"/>
    <col min="48" max="49" width="11.140625" style="332" customWidth="1"/>
    <col min="50" max="50" width="13.8515625" style="332" bestFit="1" customWidth="1"/>
    <col min="51" max="51" width="13.8515625" style="332" customWidth="1"/>
    <col min="52" max="52" width="15.140625" style="332" customWidth="1"/>
    <col min="53" max="53" width="13.57421875" style="332" bestFit="1" customWidth="1"/>
    <col min="54" max="54" width="13.8515625" style="332" bestFit="1" customWidth="1"/>
    <col min="55" max="16384" width="9.140625" style="332" customWidth="1"/>
  </cols>
  <sheetData>
    <row r="1" spans="1:34" s="33" customFormat="1" ht="16.5">
      <c r="A1" s="32"/>
      <c r="B1" s="236" t="s">
        <v>218</v>
      </c>
      <c r="C1" s="236"/>
      <c r="D1" s="236"/>
      <c r="E1" s="236"/>
      <c r="F1" s="236"/>
      <c r="G1" s="236"/>
      <c r="H1" s="332"/>
      <c r="I1" s="236"/>
      <c r="J1" s="402"/>
      <c r="K1" s="402"/>
      <c r="L1" s="137" t="s">
        <v>262</v>
      </c>
      <c r="M1" s="137"/>
      <c r="N1" s="137"/>
      <c r="O1" s="137"/>
      <c r="U1" s="3"/>
      <c r="V1" s="376"/>
      <c r="W1" s="376"/>
      <c r="Z1" s="138"/>
      <c r="AA1" s="138"/>
      <c r="AB1" s="138"/>
      <c r="AC1" s="32"/>
      <c r="AD1" s="137"/>
      <c r="AH1" s="138"/>
    </row>
    <row r="2" spans="1:54" s="33" customFormat="1" ht="22.5" customHeight="1" thickBot="1">
      <c r="A2" s="32"/>
      <c r="B2" s="24"/>
      <c r="C2" s="24"/>
      <c r="D2" s="24"/>
      <c r="E2" s="24"/>
      <c r="F2" s="24"/>
      <c r="G2" s="24"/>
      <c r="H2" s="689"/>
      <c r="I2" s="24"/>
      <c r="J2" s="346"/>
      <c r="K2" s="683"/>
      <c r="L2" s="686" t="s">
        <v>27</v>
      </c>
      <c r="M2" s="686"/>
      <c r="N2" s="683"/>
      <c r="O2" s="683"/>
      <c r="P2" s="683"/>
      <c r="Q2" s="24"/>
      <c r="R2" s="24"/>
      <c r="S2" s="24"/>
      <c r="T2" s="436"/>
      <c r="U2" s="643"/>
      <c r="V2" s="375"/>
      <c r="W2" s="682"/>
      <c r="X2" s="685"/>
      <c r="Y2" s="685"/>
      <c r="Z2" s="644"/>
      <c r="AA2" s="644"/>
      <c r="AB2" s="644"/>
      <c r="AC2" s="683"/>
      <c r="AD2" s="683"/>
      <c r="AE2" s="683"/>
      <c r="AF2" s="683"/>
      <c r="AG2" s="683"/>
      <c r="AH2" s="683"/>
      <c r="AI2" s="346"/>
      <c r="AJ2" s="346"/>
      <c r="AK2" s="346"/>
      <c r="AL2" s="346"/>
      <c r="AM2" s="346"/>
      <c r="AN2" s="346"/>
      <c r="AO2" s="346"/>
      <c r="AP2" s="346"/>
      <c r="AQ2" s="346"/>
      <c r="AR2" s="346"/>
      <c r="AS2" s="346"/>
      <c r="AT2" s="346"/>
      <c r="AU2" s="346"/>
      <c r="AV2" s="346"/>
      <c r="AW2" s="346"/>
      <c r="AX2" s="346"/>
      <c r="AY2" s="346"/>
      <c r="AZ2" s="346"/>
      <c r="BA2" s="346"/>
      <c r="BB2" s="346"/>
    </row>
    <row r="3" spans="1:33" s="190" customFormat="1" ht="13.5">
      <c r="A3" s="32"/>
      <c r="B3" s="423" t="s">
        <v>28</v>
      </c>
      <c r="C3" s="189"/>
      <c r="D3" s="189"/>
      <c r="E3" s="189"/>
      <c r="F3" s="189"/>
      <c r="G3" s="189"/>
      <c r="H3" s="653"/>
      <c r="I3" s="189"/>
      <c r="J3" s="374"/>
      <c r="K3" s="374"/>
      <c r="P3" s="36"/>
      <c r="Q3" s="189"/>
      <c r="R3" s="189"/>
      <c r="S3" s="189"/>
      <c r="T3" s="33"/>
      <c r="U3" s="33"/>
      <c r="V3" s="374"/>
      <c r="W3" s="383"/>
      <c r="X3" s="36"/>
      <c r="Y3" s="36"/>
      <c r="AC3" s="33"/>
      <c r="AE3" s="36"/>
      <c r="AF3" s="36"/>
      <c r="AG3" s="36"/>
    </row>
    <row r="4" spans="1:33" s="190" customFormat="1" ht="22.5" customHeight="1">
      <c r="A4" s="32"/>
      <c r="B4" s="189"/>
      <c r="C4" s="189"/>
      <c r="D4" s="189"/>
      <c r="E4" s="189"/>
      <c r="F4" s="189"/>
      <c r="G4" s="189"/>
      <c r="H4" s="653"/>
      <c r="I4" s="189"/>
      <c r="J4" s="374"/>
      <c r="K4" s="374"/>
      <c r="L4" s="43" t="s">
        <v>216</v>
      </c>
      <c r="M4" s="43"/>
      <c r="N4" s="43"/>
      <c r="O4" s="43"/>
      <c r="P4" s="36"/>
      <c r="Q4" s="189"/>
      <c r="R4" s="189"/>
      <c r="S4" s="189"/>
      <c r="T4" s="33"/>
      <c r="U4" s="33"/>
      <c r="V4" s="374"/>
      <c r="W4" s="383"/>
      <c r="X4" s="36"/>
      <c r="Y4" s="36"/>
      <c r="AC4" s="33"/>
      <c r="AD4" s="43"/>
      <c r="AE4" s="36"/>
      <c r="AF4" s="36"/>
      <c r="AG4" s="36"/>
    </row>
    <row r="5" spans="1:54" ht="12.75" customHeight="1">
      <c r="A5" s="260"/>
      <c r="B5" s="261"/>
      <c r="C5" s="981" t="s">
        <v>452</v>
      </c>
      <c r="D5" s="982"/>
      <c r="E5" s="982"/>
      <c r="F5" s="982"/>
      <c r="G5" s="982"/>
      <c r="H5" s="982"/>
      <c r="I5" s="982"/>
      <c r="J5" s="982"/>
      <c r="K5" s="982"/>
      <c r="L5" s="982"/>
      <c r="M5" s="982"/>
      <c r="N5" s="982"/>
      <c r="O5" s="982"/>
      <c r="P5" s="983"/>
      <c r="Q5" s="984" t="s">
        <v>462</v>
      </c>
      <c r="R5" s="985"/>
      <c r="S5" s="985"/>
      <c r="T5" s="985"/>
      <c r="U5" s="985"/>
      <c r="V5" s="985"/>
      <c r="W5" s="985"/>
      <c r="X5" s="985"/>
      <c r="Y5" s="985"/>
      <c r="Z5" s="985"/>
      <c r="AA5" s="985"/>
      <c r="AB5" s="986"/>
      <c r="AC5" s="987" t="s">
        <v>217</v>
      </c>
      <c r="AD5" s="987"/>
      <c r="AE5" s="987"/>
      <c r="AF5" s="987"/>
      <c r="AG5" s="987"/>
      <c r="AH5" s="987"/>
      <c r="AI5" s="985" t="s">
        <v>479</v>
      </c>
      <c r="AJ5" s="985"/>
      <c r="AK5" s="985"/>
      <c r="AL5" s="985"/>
      <c r="AM5" s="985"/>
      <c r="AN5" s="985"/>
      <c r="AO5" s="985"/>
      <c r="AP5" s="985"/>
      <c r="AQ5" s="985"/>
      <c r="AR5" s="985"/>
      <c r="AS5" s="980" t="s">
        <v>527</v>
      </c>
      <c r="AT5" s="966"/>
      <c r="AU5" s="966"/>
      <c r="AV5" s="966"/>
      <c r="AW5" s="966"/>
      <c r="AX5" s="966"/>
      <c r="AY5" s="966"/>
      <c r="AZ5" s="966"/>
      <c r="BA5" s="966"/>
      <c r="BB5" s="967"/>
    </row>
    <row r="6" spans="1:54" ht="127.5">
      <c r="A6" s="127" t="s">
        <v>111</v>
      </c>
      <c r="B6" s="65" t="s">
        <v>254</v>
      </c>
      <c r="C6" s="65" t="s">
        <v>212</v>
      </c>
      <c r="D6" s="65" t="s">
        <v>220</v>
      </c>
      <c r="E6" s="65" t="s">
        <v>292</v>
      </c>
      <c r="F6" s="65" t="s">
        <v>295</v>
      </c>
      <c r="G6" s="65" t="s">
        <v>428</v>
      </c>
      <c r="H6" s="128" t="s">
        <v>283</v>
      </c>
      <c r="I6" s="472" t="s">
        <v>424</v>
      </c>
      <c r="J6" s="473" t="s">
        <v>427</v>
      </c>
      <c r="K6" s="473" t="s">
        <v>348</v>
      </c>
      <c r="L6" s="473" t="s">
        <v>552</v>
      </c>
      <c r="M6" s="293" t="s">
        <v>352</v>
      </c>
      <c r="N6" s="293" t="s">
        <v>528</v>
      </c>
      <c r="O6" s="293" t="s">
        <v>223</v>
      </c>
      <c r="P6" s="654" t="s">
        <v>255</v>
      </c>
      <c r="Q6" s="65" t="s">
        <v>212</v>
      </c>
      <c r="R6" s="65" t="s">
        <v>295</v>
      </c>
      <c r="S6" s="65" t="s">
        <v>426</v>
      </c>
      <c r="T6" s="65" t="s">
        <v>283</v>
      </c>
      <c r="U6" s="472" t="s">
        <v>429</v>
      </c>
      <c r="V6" s="473" t="s">
        <v>427</v>
      </c>
      <c r="W6" s="473" t="s">
        <v>348</v>
      </c>
      <c r="X6" s="473" t="s">
        <v>296</v>
      </c>
      <c r="Y6" s="293" t="s">
        <v>352</v>
      </c>
      <c r="Z6" s="293" t="s">
        <v>528</v>
      </c>
      <c r="AA6" s="293" t="s">
        <v>223</v>
      </c>
      <c r="AB6" s="654" t="s">
        <v>255</v>
      </c>
      <c r="AC6" s="293" t="s">
        <v>212</v>
      </c>
      <c r="AD6" s="474" t="s">
        <v>294</v>
      </c>
      <c r="AE6" s="293" t="s">
        <v>352</v>
      </c>
      <c r="AF6" s="293" t="s">
        <v>528</v>
      </c>
      <c r="AG6" s="293" t="s">
        <v>223</v>
      </c>
      <c r="AH6" s="293" t="s">
        <v>310</v>
      </c>
      <c r="AI6" s="293" t="s">
        <v>212</v>
      </c>
      <c r="AJ6" s="65" t="s">
        <v>295</v>
      </c>
      <c r="AK6" s="474" t="s">
        <v>239</v>
      </c>
      <c r="AL6" s="473" t="s">
        <v>427</v>
      </c>
      <c r="AM6" s="473" t="s">
        <v>348</v>
      </c>
      <c r="AN6" s="473" t="s">
        <v>296</v>
      </c>
      <c r="AO6" s="293" t="s">
        <v>352</v>
      </c>
      <c r="AP6" s="293" t="s">
        <v>528</v>
      </c>
      <c r="AQ6" s="293" t="s">
        <v>223</v>
      </c>
      <c r="AR6" s="654" t="s">
        <v>255</v>
      </c>
      <c r="AS6" s="293" t="s">
        <v>212</v>
      </c>
      <c r="AT6" s="65" t="s">
        <v>295</v>
      </c>
      <c r="AU6" s="474" t="s">
        <v>239</v>
      </c>
      <c r="AV6" s="473" t="s">
        <v>427</v>
      </c>
      <c r="AW6" s="473" t="s">
        <v>348</v>
      </c>
      <c r="AX6" s="473" t="s">
        <v>296</v>
      </c>
      <c r="AY6" s="293" t="s">
        <v>352</v>
      </c>
      <c r="AZ6" s="293" t="s">
        <v>528</v>
      </c>
      <c r="BA6" s="293" t="s">
        <v>223</v>
      </c>
      <c r="BB6" s="654" t="s">
        <v>255</v>
      </c>
    </row>
    <row r="7" spans="1:54" ht="13.5">
      <c r="A7" s="243">
        <v>1</v>
      </c>
      <c r="B7" s="243">
        <v>2</v>
      </c>
      <c r="C7" s="243">
        <v>3</v>
      </c>
      <c r="D7" s="243">
        <v>4</v>
      </c>
      <c r="E7" s="243">
        <v>5</v>
      </c>
      <c r="F7" s="243">
        <v>6</v>
      </c>
      <c r="G7" s="243">
        <v>7</v>
      </c>
      <c r="H7" s="243">
        <v>8</v>
      </c>
      <c r="I7" s="243">
        <v>9</v>
      </c>
      <c r="J7" s="377">
        <v>10</v>
      </c>
      <c r="K7" s="377">
        <v>11</v>
      </c>
      <c r="L7" s="377">
        <v>12</v>
      </c>
      <c r="M7" s="243"/>
      <c r="N7" s="243">
        <v>13</v>
      </c>
      <c r="O7" s="243">
        <v>14</v>
      </c>
      <c r="P7" s="243">
        <v>15</v>
      </c>
      <c r="Q7" s="243">
        <v>16</v>
      </c>
      <c r="R7" s="243">
        <v>17</v>
      </c>
      <c r="S7" s="243">
        <v>18</v>
      </c>
      <c r="T7" s="243">
        <v>19</v>
      </c>
      <c r="U7" s="243">
        <v>20</v>
      </c>
      <c r="V7" s="377">
        <v>21</v>
      </c>
      <c r="W7" s="377">
        <v>22</v>
      </c>
      <c r="X7" s="377">
        <v>23</v>
      </c>
      <c r="Y7" s="243"/>
      <c r="Z7" s="243">
        <v>24</v>
      </c>
      <c r="AA7" s="243">
        <v>25</v>
      </c>
      <c r="AB7" s="243">
        <v>26</v>
      </c>
      <c r="AC7" s="243">
        <v>27</v>
      </c>
      <c r="AD7" s="243">
        <v>28</v>
      </c>
      <c r="AE7" s="243">
        <v>29</v>
      </c>
      <c r="AF7" s="243">
        <v>30</v>
      </c>
      <c r="AG7" s="243">
        <v>31</v>
      </c>
      <c r="AH7" s="243">
        <v>32</v>
      </c>
      <c r="AI7" s="243">
        <v>33</v>
      </c>
      <c r="AJ7" s="243"/>
      <c r="AK7" s="243">
        <v>34</v>
      </c>
      <c r="AL7" s="377">
        <v>21</v>
      </c>
      <c r="AM7" s="377">
        <v>22</v>
      </c>
      <c r="AN7" s="377">
        <v>23</v>
      </c>
      <c r="AO7" s="243"/>
      <c r="AP7" s="243">
        <v>36</v>
      </c>
      <c r="AQ7" s="243">
        <v>37</v>
      </c>
      <c r="AR7" s="243">
        <v>38</v>
      </c>
      <c r="AS7" s="243">
        <v>33</v>
      </c>
      <c r="AT7" s="243"/>
      <c r="AU7" s="243">
        <v>34</v>
      </c>
      <c r="AV7" s="377">
        <v>21</v>
      </c>
      <c r="AW7" s="377">
        <v>22</v>
      </c>
      <c r="AX7" s="377">
        <v>23</v>
      </c>
      <c r="AY7" s="243"/>
      <c r="AZ7" s="243">
        <v>36</v>
      </c>
      <c r="BA7" s="243">
        <v>37</v>
      </c>
      <c r="BB7" s="243">
        <v>38</v>
      </c>
    </row>
    <row r="8" spans="1:54" ht="60" customHeight="1">
      <c r="A8" s="104"/>
      <c r="B8" s="30" t="s">
        <v>529</v>
      </c>
      <c r="C8" s="30"/>
      <c r="D8" s="30"/>
      <c r="E8" s="30"/>
      <c r="F8" s="30"/>
      <c r="G8" s="18"/>
      <c r="H8" s="655"/>
      <c r="I8" s="30"/>
      <c r="J8" s="403"/>
      <c r="K8" s="403"/>
      <c r="L8" s="403"/>
      <c r="M8" s="30"/>
      <c r="N8" s="30"/>
      <c r="O8" s="30"/>
      <c r="P8" s="30"/>
      <c r="Q8" s="278"/>
      <c r="R8" s="278"/>
      <c r="S8" s="278"/>
      <c r="T8" s="278"/>
      <c r="U8" s="279"/>
      <c r="V8" s="403"/>
      <c r="W8" s="403"/>
      <c r="X8" s="403"/>
      <c r="Y8" s="244"/>
      <c r="Z8" s="244"/>
      <c r="AA8" s="244"/>
      <c r="AB8" s="244"/>
      <c r="AC8" s="279"/>
      <c r="AD8" s="279"/>
      <c r="AE8" s="279"/>
      <c r="AF8" s="279"/>
      <c r="AG8" s="279"/>
      <c r="AH8" s="244"/>
      <c r="AI8" s="279"/>
      <c r="AJ8" s="279"/>
      <c r="AK8" s="279"/>
      <c r="AL8" s="403"/>
      <c r="AM8" s="403"/>
      <c r="AN8" s="403"/>
      <c r="AO8" s="244"/>
      <c r="AP8" s="279"/>
      <c r="AQ8" s="279"/>
      <c r="AR8" s="244"/>
      <c r="AS8" s="279"/>
      <c r="AT8" s="279"/>
      <c r="AU8" s="279"/>
      <c r="AV8" s="403"/>
      <c r="AW8" s="403"/>
      <c r="AX8" s="403"/>
      <c r="AY8" s="244"/>
      <c r="AZ8" s="279"/>
      <c r="BA8" s="279"/>
      <c r="BB8" s="244"/>
    </row>
    <row r="9" spans="1:54" ht="14.25">
      <c r="A9" s="104"/>
      <c r="B9" s="207" t="s">
        <v>123</v>
      </c>
      <c r="C9" s="207"/>
      <c r="D9" s="207"/>
      <c r="E9" s="207"/>
      <c r="F9" s="207"/>
      <c r="G9" s="335"/>
      <c r="H9" s="106"/>
      <c r="I9" s="207"/>
      <c r="J9" s="386"/>
      <c r="K9" s="386"/>
      <c r="L9" s="386"/>
      <c r="M9" s="207"/>
      <c r="N9" s="207"/>
      <c r="O9" s="207"/>
      <c r="P9" s="207"/>
      <c r="Q9" s="278"/>
      <c r="R9" s="278"/>
      <c r="S9" s="278"/>
      <c r="T9" s="278"/>
      <c r="U9" s="244"/>
      <c r="V9" s="386"/>
      <c r="W9" s="386"/>
      <c r="X9" s="386"/>
      <c r="Y9" s="244"/>
      <c r="Z9" s="244"/>
      <c r="AA9" s="244"/>
      <c r="AB9" s="244"/>
      <c r="AC9" s="244"/>
      <c r="AD9" s="244"/>
      <c r="AE9" s="278"/>
      <c r="AF9" s="278"/>
      <c r="AG9" s="278"/>
      <c r="AH9" s="244"/>
      <c r="AI9" s="244"/>
      <c r="AJ9" s="244"/>
      <c r="AK9" s="244"/>
      <c r="AL9" s="386"/>
      <c r="AM9" s="386"/>
      <c r="AN9" s="386"/>
      <c r="AO9" s="244"/>
      <c r="AP9" s="278"/>
      <c r="AQ9" s="278"/>
      <c r="AR9" s="244"/>
      <c r="AS9" s="244"/>
      <c r="AT9" s="244"/>
      <c r="AU9" s="244"/>
      <c r="AV9" s="386"/>
      <c r="AW9" s="386"/>
      <c r="AX9" s="386"/>
      <c r="AY9" s="244"/>
      <c r="AZ9" s="278"/>
      <c r="BA9" s="278"/>
      <c r="BB9" s="244"/>
    </row>
    <row r="10" spans="1:54" ht="13.5">
      <c r="A10" s="127"/>
      <c r="B10" s="245" t="s">
        <v>418</v>
      </c>
      <c r="C10" s="331"/>
      <c r="D10" s="331"/>
      <c r="E10" s="331"/>
      <c r="F10" s="331"/>
      <c r="G10" s="336"/>
      <c r="H10" s="656"/>
      <c r="I10" s="331"/>
      <c r="J10" s="404"/>
      <c r="K10" s="404"/>
      <c r="L10" s="404"/>
      <c r="M10" s="331"/>
      <c r="N10" s="331"/>
      <c r="O10" s="331"/>
      <c r="P10" s="331"/>
      <c r="Q10" s="243"/>
      <c r="R10" s="243"/>
      <c r="S10" s="243"/>
      <c r="T10" s="243"/>
      <c r="U10" s="243"/>
      <c r="V10" s="404"/>
      <c r="W10" s="404"/>
      <c r="X10" s="404"/>
      <c r="Y10" s="243"/>
      <c r="Z10" s="243"/>
      <c r="AA10" s="243"/>
      <c r="AB10" s="243"/>
      <c r="AC10" s="127"/>
      <c r="AD10" s="243"/>
      <c r="AE10" s="243"/>
      <c r="AF10" s="243"/>
      <c r="AG10" s="243"/>
      <c r="AH10" s="243"/>
      <c r="AI10" s="127"/>
      <c r="AJ10" s="243"/>
      <c r="AK10" s="243"/>
      <c r="AL10" s="404"/>
      <c r="AM10" s="404"/>
      <c r="AN10" s="404"/>
      <c r="AO10" s="243"/>
      <c r="AP10" s="243"/>
      <c r="AQ10" s="243"/>
      <c r="AR10" s="243"/>
      <c r="AS10" s="127"/>
      <c r="AT10" s="243"/>
      <c r="AU10" s="243"/>
      <c r="AV10" s="404"/>
      <c r="AW10" s="404"/>
      <c r="AX10" s="404"/>
      <c r="AY10" s="243"/>
      <c r="AZ10" s="243"/>
      <c r="BA10" s="243"/>
      <c r="BB10" s="243"/>
    </row>
    <row r="11" spans="1:54" ht="14.25">
      <c r="A11" s="104"/>
      <c r="B11" s="207" t="s">
        <v>193</v>
      </c>
      <c r="C11" s="207"/>
      <c r="D11" s="207"/>
      <c r="E11" s="207"/>
      <c r="F11" s="207"/>
      <c r="G11" s="335"/>
      <c r="H11" s="106"/>
      <c r="I11" s="207"/>
      <c r="J11" s="386"/>
      <c r="K11" s="386"/>
      <c r="L11" s="386"/>
      <c r="M11" s="207"/>
      <c r="N11" s="207"/>
      <c r="O11" s="207"/>
      <c r="P11" s="207"/>
      <c r="Q11" s="104"/>
      <c r="R11" s="104"/>
      <c r="S11" s="104"/>
      <c r="T11" s="104"/>
      <c r="U11" s="104"/>
      <c r="V11" s="386"/>
      <c r="W11" s="386"/>
      <c r="X11" s="386"/>
      <c r="Y11" s="104"/>
      <c r="Z11" s="278"/>
      <c r="AA11" s="278"/>
      <c r="AB11" s="278"/>
      <c r="AC11" s="244"/>
      <c r="AD11" s="278"/>
      <c r="AE11" s="278"/>
      <c r="AF11" s="278"/>
      <c r="AG11" s="278"/>
      <c r="AH11" s="244"/>
      <c r="AI11" s="244"/>
      <c r="AJ11" s="244"/>
      <c r="AK11" s="278"/>
      <c r="AL11" s="386"/>
      <c r="AM11" s="386"/>
      <c r="AN11" s="386"/>
      <c r="AO11" s="104"/>
      <c r="AP11" s="278"/>
      <c r="AQ11" s="278"/>
      <c r="AR11" s="244"/>
      <c r="AS11" s="244"/>
      <c r="AT11" s="244"/>
      <c r="AU11" s="278"/>
      <c r="AV11" s="386"/>
      <c r="AW11" s="386"/>
      <c r="AX11" s="386"/>
      <c r="AY11" s="104"/>
      <c r="AZ11" s="278"/>
      <c r="BA11" s="278"/>
      <c r="BB11" s="244"/>
    </row>
    <row r="12" spans="1:54" ht="14.25">
      <c r="A12" s="127">
        <v>1</v>
      </c>
      <c r="B12" s="243"/>
      <c r="C12" s="243"/>
      <c r="D12" s="243"/>
      <c r="E12" s="243"/>
      <c r="F12" s="243"/>
      <c r="G12" s="657"/>
      <c r="H12" s="658"/>
      <c r="I12" s="659">
        <f>66140*H12</f>
        <v>0</v>
      </c>
      <c r="J12" s="660">
        <f>F12*I12*2%</f>
        <v>0</v>
      </c>
      <c r="K12" s="660">
        <f>+I12*G12</f>
        <v>0</v>
      </c>
      <c r="L12" s="660">
        <f>+J12+K12</f>
        <v>0</v>
      </c>
      <c r="M12" s="659">
        <f>IF((L12&gt;I12*30%),I12*30%,L12)</f>
        <v>0</v>
      </c>
      <c r="N12" s="659"/>
      <c r="O12" s="659"/>
      <c r="P12" s="661">
        <f>+I12+M12+N12+O12</f>
        <v>0</v>
      </c>
      <c r="Q12" s="662"/>
      <c r="R12" s="243"/>
      <c r="S12" s="657"/>
      <c r="T12" s="243"/>
      <c r="U12" s="659">
        <f>66140*T12</f>
        <v>0</v>
      </c>
      <c r="V12" s="660">
        <f>R12*U12*2%</f>
        <v>0</v>
      </c>
      <c r="W12" s="660">
        <f>+U12*G12</f>
        <v>0</v>
      </c>
      <c r="X12" s="660">
        <f>+V12+W12</f>
        <v>0</v>
      </c>
      <c r="Y12" s="659">
        <f>IF((X12&gt;U12*30%),U12*30%,X12)</f>
        <v>0</v>
      </c>
      <c r="Z12" s="659"/>
      <c r="AA12" s="659"/>
      <c r="AB12" s="661">
        <f>+U12+Y12+Z12+AA12</f>
        <v>0</v>
      </c>
      <c r="AC12" s="661">
        <f>C12-Q12</f>
        <v>0</v>
      </c>
      <c r="AD12" s="661">
        <f>I12-U12</f>
        <v>0</v>
      </c>
      <c r="AE12" s="661">
        <f aca="true" t="shared" si="0" ref="AE12:AF14">+M12-Y12</f>
        <v>0</v>
      </c>
      <c r="AF12" s="661">
        <f t="shared" si="0"/>
        <v>0</v>
      </c>
      <c r="AG12" s="661">
        <f>O12-AA12</f>
        <v>0</v>
      </c>
      <c r="AH12" s="661">
        <f>AD12+AE12+AF12+AG12</f>
        <v>0</v>
      </c>
      <c r="AI12" s="663"/>
      <c r="AJ12" s="243">
        <f>+F12+1</f>
        <v>1</v>
      </c>
      <c r="AK12" s="659">
        <f>66140*H12</f>
        <v>0</v>
      </c>
      <c r="AL12" s="660">
        <f>AJ12*AK12*2%</f>
        <v>0</v>
      </c>
      <c r="AM12" s="660">
        <f>+AK12*G12</f>
        <v>0</v>
      </c>
      <c r="AN12" s="660">
        <f>+AL12+AM12</f>
        <v>0</v>
      </c>
      <c r="AO12" s="659">
        <f>IF((AN12&gt;AK12*30%),AK12*30%,AN12)</f>
        <v>0</v>
      </c>
      <c r="AP12" s="659">
        <f>+AK12</f>
        <v>0</v>
      </c>
      <c r="AQ12" s="659"/>
      <c r="AR12" s="661">
        <f>+AK12+AO12+AP12+AQ12</f>
        <v>0</v>
      </c>
      <c r="AS12" s="663"/>
      <c r="AT12" s="243">
        <f>+AJ12+1</f>
        <v>2</v>
      </c>
      <c r="AU12" s="659">
        <f>66140*H12</f>
        <v>0</v>
      </c>
      <c r="AV12" s="660">
        <f>AT12*AU12*2%</f>
        <v>0</v>
      </c>
      <c r="AW12" s="660">
        <f>+AU12*G1212</f>
        <v>0</v>
      </c>
      <c r="AX12" s="660">
        <f>+AV12+AW12</f>
        <v>0</v>
      </c>
      <c r="AY12" s="659">
        <f>IF((AX12&gt;AU12*30%),AU12*30%,AX12)</f>
        <v>0</v>
      </c>
      <c r="AZ12" s="659">
        <f>+AU12</f>
        <v>0</v>
      </c>
      <c r="BA12" s="659"/>
      <c r="BB12" s="661">
        <f>+AU12+AY12+AZ12+BA12</f>
        <v>0</v>
      </c>
    </row>
    <row r="13" spans="1:54" ht="14.25">
      <c r="A13" s="127">
        <v>2</v>
      </c>
      <c r="B13" s="243"/>
      <c r="C13" s="243"/>
      <c r="D13" s="243"/>
      <c r="E13" s="243"/>
      <c r="F13" s="243"/>
      <c r="G13" s="337"/>
      <c r="H13" s="658"/>
      <c r="I13" s="243">
        <f>66140*H13</f>
        <v>0</v>
      </c>
      <c r="J13" s="660">
        <f>F13*I13*2%</f>
        <v>0</v>
      </c>
      <c r="K13" s="660">
        <f>+I13*G13</f>
        <v>0</v>
      </c>
      <c r="L13" s="660">
        <f>+J13+K13</f>
        <v>0</v>
      </c>
      <c r="M13" s="659">
        <f>IF((L13&gt;I13*30%),I13*30%,L13)</f>
        <v>0</v>
      </c>
      <c r="N13" s="659"/>
      <c r="O13" s="659"/>
      <c r="P13" s="661">
        <f>+I13+M13+N13+O13</f>
        <v>0</v>
      </c>
      <c r="Q13" s="662"/>
      <c r="R13" s="662"/>
      <c r="S13" s="662"/>
      <c r="T13" s="662"/>
      <c r="U13" s="659">
        <f>66140*T13</f>
        <v>0</v>
      </c>
      <c r="V13" s="660">
        <f>R13*U13*2%</f>
        <v>0</v>
      </c>
      <c r="W13" s="660">
        <f>+U13*G13</f>
        <v>0</v>
      </c>
      <c r="X13" s="660">
        <f>+V13+W13</f>
        <v>0</v>
      </c>
      <c r="Y13" s="659">
        <f>IF((X13&gt;U13*30%),U13*30%,X13)</f>
        <v>0</v>
      </c>
      <c r="Z13" s="659"/>
      <c r="AA13" s="659"/>
      <c r="AB13" s="661">
        <f>+U13+Y13+Z13+AA13</f>
        <v>0</v>
      </c>
      <c r="AC13" s="661">
        <f>C13-Q13</f>
        <v>0</v>
      </c>
      <c r="AD13" s="661">
        <f>I13-U13</f>
        <v>0</v>
      </c>
      <c r="AE13" s="661">
        <f t="shared" si="0"/>
        <v>0</v>
      </c>
      <c r="AF13" s="661">
        <f t="shared" si="0"/>
        <v>0</v>
      </c>
      <c r="AG13" s="661">
        <f>O13-AA13</f>
        <v>0</v>
      </c>
      <c r="AH13" s="661">
        <f>AD13+AE13+AF13+AG13</f>
        <v>0</v>
      </c>
      <c r="AI13" s="663"/>
      <c r="AJ13" s="243">
        <f>+F13+1</f>
        <v>1</v>
      </c>
      <c r="AK13" s="659">
        <f>66140*H13</f>
        <v>0</v>
      </c>
      <c r="AL13" s="660">
        <f>AJ13*AK13*2%</f>
        <v>0</v>
      </c>
      <c r="AM13" s="660">
        <f>+AK13*G13</f>
        <v>0</v>
      </c>
      <c r="AN13" s="660">
        <f>+AL13+AM13</f>
        <v>0</v>
      </c>
      <c r="AO13" s="659">
        <f>IF((AN13&gt;AK13*30%),AK13*30%,AN13)</f>
        <v>0</v>
      </c>
      <c r="AP13" s="659">
        <f>+AK13</f>
        <v>0</v>
      </c>
      <c r="AQ13" s="659"/>
      <c r="AR13" s="661">
        <f>+AK13+AO13+AP13+AQ13</f>
        <v>0</v>
      </c>
      <c r="AS13" s="663"/>
      <c r="AT13" s="243">
        <f>+AJ13+1</f>
        <v>2</v>
      </c>
      <c r="AU13" s="659">
        <f>66140*H13</f>
        <v>0</v>
      </c>
      <c r="AV13" s="660">
        <f>AT13*AU13*2%</f>
        <v>0</v>
      </c>
      <c r="AW13" s="660">
        <f>+AU13*G1213</f>
        <v>0</v>
      </c>
      <c r="AX13" s="660">
        <f>+AV13+AW13</f>
        <v>0</v>
      </c>
      <c r="AY13" s="659">
        <f>IF((AX13&gt;AU13*30%),AU13*30%,AX13)</f>
        <v>0</v>
      </c>
      <c r="AZ13" s="659">
        <f>+AU13</f>
        <v>0</v>
      </c>
      <c r="BA13" s="659"/>
      <c r="BB13" s="661">
        <f>+AU13+AY13+AZ13+BA13</f>
        <v>0</v>
      </c>
    </row>
    <row r="14" spans="1:54" ht="14.25">
      <c r="A14" s="127">
        <v>3</v>
      </c>
      <c r="B14" s="243"/>
      <c r="C14" s="243"/>
      <c r="D14" s="243"/>
      <c r="E14" s="243"/>
      <c r="F14" s="243"/>
      <c r="G14" s="337"/>
      <c r="H14" s="658"/>
      <c r="I14" s="243">
        <f>66140*H14</f>
        <v>0</v>
      </c>
      <c r="J14" s="660">
        <f>F14*I14*2%</f>
        <v>0</v>
      </c>
      <c r="K14" s="660">
        <f>+I14*G14</f>
        <v>0</v>
      </c>
      <c r="L14" s="660">
        <f>+J14+K14</f>
        <v>0</v>
      </c>
      <c r="M14" s="659">
        <f>IF((L14&gt;I14*30%),I14*30%,L14)</f>
        <v>0</v>
      </c>
      <c r="N14" s="659"/>
      <c r="O14" s="659"/>
      <c r="P14" s="661">
        <f>+I14+M14+N14+O14</f>
        <v>0</v>
      </c>
      <c r="Q14" s="664"/>
      <c r="R14" s="664"/>
      <c r="S14" s="664"/>
      <c r="T14" s="664"/>
      <c r="U14" s="659">
        <f>66140*T14</f>
        <v>0</v>
      </c>
      <c r="V14" s="660">
        <f>R14*U14*2%</f>
        <v>0</v>
      </c>
      <c r="W14" s="660">
        <f>+U14*G14</f>
        <v>0</v>
      </c>
      <c r="X14" s="660">
        <f>+V14+W14</f>
        <v>0</v>
      </c>
      <c r="Y14" s="659">
        <f>IF((X14&gt;U14*30%),U14*30%,X14)</f>
        <v>0</v>
      </c>
      <c r="Z14" s="659"/>
      <c r="AA14" s="659"/>
      <c r="AB14" s="661">
        <f>+U14+Y14+Z14+AA14</f>
        <v>0</v>
      </c>
      <c r="AC14" s="661">
        <f>C14-Q14</f>
        <v>0</v>
      </c>
      <c r="AD14" s="661">
        <f>I14-U14</f>
        <v>0</v>
      </c>
      <c r="AE14" s="661">
        <f t="shared" si="0"/>
        <v>0</v>
      </c>
      <c r="AF14" s="661">
        <f t="shared" si="0"/>
        <v>0</v>
      </c>
      <c r="AG14" s="661">
        <f>O14-AA14</f>
        <v>0</v>
      </c>
      <c r="AH14" s="661">
        <f>AD14+AE14+AF14+AG14</f>
        <v>0</v>
      </c>
      <c r="AI14" s="663"/>
      <c r="AJ14" s="243">
        <f>+F14+1</f>
        <v>1</v>
      </c>
      <c r="AK14" s="659">
        <f>66140*H14</f>
        <v>0</v>
      </c>
      <c r="AL14" s="660">
        <f>AJ14*AK14*2%</f>
        <v>0</v>
      </c>
      <c r="AM14" s="660">
        <f>+AK14*G14</f>
        <v>0</v>
      </c>
      <c r="AN14" s="660">
        <f>+AL14+AM14</f>
        <v>0</v>
      </c>
      <c r="AO14" s="659">
        <f>IF((AN14&gt;AK14*30%),AK14*30%,AN14)</f>
        <v>0</v>
      </c>
      <c r="AP14" s="659">
        <f>+AK14</f>
        <v>0</v>
      </c>
      <c r="AQ14" s="659"/>
      <c r="AR14" s="661">
        <f>+AK14+AO14+AP14+AQ14</f>
        <v>0</v>
      </c>
      <c r="AS14" s="663"/>
      <c r="AT14" s="243">
        <f>+AJ14+1</f>
        <v>2</v>
      </c>
      <c r="AU14" s="659">
        <f>66140*H14</f>
        <v>0</v>
      </c>
      <c r="AV14" s="660">
        <f>AT14*AU14*2%</f>
        <v>0</v>
      </c>
      <c r="AW14" s="660">
        <f>+AU14*G1214</f>
        <v>0</v>
      </c>
      <c r="AX14" s="660">
        <f>+AV14+AW14</f>
        <v>0</v>
      </c>
      <c r="AY14" s="659">
        <f>IF((AX14&gt;AU14*30%),AU14*30%,AX14)</f>
        <v>0</v>
      </c>
      <c r="AZ14" s="659">
        <f>+AU14</f>
        <v>0</v>
      </c>
      <c r="BA14" s="659"/>
      <c r="BB14" s="661">
        <f>+AU14+AY14+AZ14+BA14</f>
        <v>0</v>
      </c>
    </row>
    <row r="15" spans="1:54" s="333" customFormat="1" ht="13.5">
      <c r="A15" s="278"/>
      <c r="B15" s="251" t="s">
        <v>263</v>
      </c>
      <c r="C15" s="280">
        <f>SUM(C12:C14)</f>
        <v>0</v>
      </c>
      <c r="D15" s="280" t="s">
        <v>1</v>
      </c>
      <c r="E15" s="280" t="s">
        <v>1</v>
      </c>
      <c r="F15" s="280" t="s">
        <v>1</v>
      </c>
      <c r="G15" s="280" t="s">
        <v>1</v>
      </c>
      <c r="H15" s="665" t="s">
        <v>1</v>
      </c>
      <c r="I15" s="661">
        <f aca="true" t="shared" si="1" ref="I15:Q15">SUM(I12:I14)</f>
        <v>0</v>
      </c>
      <c r="J15" s="666">
        <f t="shared" si="1"/>
        <v>0</v>
      </c>
      <c r="K15" s="666">
        <f t="shared" si="1"/>
        <v>0</v>
      </c>
      <c r="L15" s="666">
        <f t="shared" si="1"/>
        <v>0</v>
      </c>
      <c r="M15" s="661">
        <f t="shared" si="1"/>
        <v>0</v>
      </c>
      <c r="N15" s="661">
        <f t="shared" si="1"/>
        <v>0</v>
      </c>
      <c r="O15" s="661">
        <f t="shared" si="1"/>
        <v>0</v>
      </c>
      <c r="P15" s="661">
        <f t="shared" si="1"/>
        <v>0</v>
      </c>
      <c r="Q15" s="661">
        <f t="shared" si="1"/>
        <v>0</v>
      </c>
      <c r="R15" s="661" t="s">
        <v>1</v>
      </c>
      <c r="S15" s="661" t="s">
        <v>1</v>
      </c>
      <c r="T15" s="661" t="s">
        <v>1</v>
      </c>
      <c r="U15" s="661">
        <f aca="true" t="shared" si="2" ref="U15:AB15">SUM(U12:U14)</f>
        <v>0</v>
      </c>
      <c r="V15" s="666">
        <f t="shared" si="2"/>
        <v>0</v>
      </c>
      <c r="W15" s="666">
        <f t="shared" si="2"/>
        <v>0</v>
      </c>
      <c r="X15" s="666">
        <f t="shared" si="2"/>
        <v>0</v>
      </c>
      <c r="Y15" s="661">
        <f t="shared" si="2"/>
        <v>0</v>
      </c>
      <c r="Z15" s="661">
        <f t="shared" si="2"/>
        <v>0</v>
      </c>
      <c r="AA15" s="661">
        <f t="shared" si="2"/>
        <v>0</v>
      </c>
      <c r="AB15" s="661">
        <f t="shared" si="2"/>
        <v>0</v>
      </c>
      <c r="AC15" s="661">
        <f aca="true" t="shared" si="3" ref="AC15:AO15">SUM(AC12:AC14)</f>
        <v>0</v>
      </c>
      <c r="AD15" s="661">
        <f t="shared" si="3"/>
        <v>0</v>
      </c>
      <c r="AE15" s="661">
        <f t="shared" si="3"/>
        <v>0</v>
      </c>
      <c r="AF15" s="661">
        <f t="shared" si="3"/>
        <v>0</v>
      </c>
      <c r="AG15" s="661">
        <f t="shared" si="3"/>
        <v>0</v>
      </c>
      <c r="AH15" s="661">
        <f t="shared" si="3"/>
        <v>0</v>
      </c>
      <c r="AI15" s="661">
        <f t="shared" si="3"/>
        <v>0</v>
      </c>
      <c r="AJ15" s="243"/>
      <c r="AK15" s="661">
        <f t="shared" si="3"/>
        <v>0</v>
      </c>
      <c r="AL15" s="666">
        <f t="shared" si="3"/>
        <v>0</v>
      </c>
      <c r="AM15" s="666">
        <f t="shared" si="3"/>
        <v>0</v>
      </c>
      <c r="AN15" s="666">
        <f t="shared" si="3"/>
        <v>0</v>
      </c>
      <c r="AO15" s="661">
        <f t="shared" si="3"/>
        <v>0</v>
      </c>
      <c r="AP15" s="661">
        <f aca="true" t="shared" si="4" ref="AP15:AY15">SUM(AP12:AP14)</f>
        <v>0</v>
      </c>
      <c r="AQ15" s="661">
        <f t="shared" si="4"/>
        <v>0</v>
      </c>
      <c r="AR15" s="661">
        <f t="shared" si="4"/>
        <v>0</v>
      </c>
      <c r="AS15" s="661">
        <f t="shared" si="4"/>
        <v>0</v>
      </c>
      <c r="AT15" s="243"/>
      <c r="AU15" s="661">
        <f t="shared" si="4"/>
        <v>0</v>
      </c>
      <c r="AV15" s="666">
        <f t="shared" si="4"/>
        <v>0</v>
      </c>
      <c r="AW15" s="666">
        <f t="shared" si="4"/>
        <v>0</v>
      </c>
      <c r="AX15" s="666">
        <f t="shared" si="4"/>
        <v>0</v>
      </c>
      <c r="AY15" s="661">
        <f t="shared" si="4"/>
        <v>0</v>
      </c>
      <c r="AZ15" s="661">
        <f>SUM(AZ12:AZ14)</f>
        <v>0</v>
      </c>
      <c r="BA15" s="661">
        <f>SUM(BA12:BA14)</f>
        <v>0</v>
      </c>
      <c r="BB15" s="661">
        <f>SUM(BB12:BB14)</f>
        <v>0</v>
      </c>
    </row>
    <row r="16" spans="1:54" ht="14.25">
      <c r="A16" s="104"/>
      <c r="B16" s="207"/>
      <c r="C16" s="207"/>
      <c r="D16" s="207"/>
      <c r="E16" s="207"/>
      <c r="F16" s="207"/>
      <c r="G16" s="335"/>
      <c r="H16" s="106"/>
      <c r="I16" s="667"/>
      <c r="J16" s="668"/>
      <c r="K16" s="668"/>
      <c r="L16" s="668"/>
      <c r="M16" s="667"/>
      <c r="N16" s="667"/>
      <c r="O16" s="667"/>
      <c r="P16" s="667"/>
      <c r="Q16" s="661"/>
      <c r="R16" s="661"/>
      <c r="S16" s="661"/>
      <c r="T16" s="661"/>
      <c r="U16" s="667"/>
      <c r="V16" s="668"/>
      <c r="W16" s="668"/>
      <c r="X16" s="668"/>
      <c r="Y16" s="667"/>
      <c r="Z16" s="667"/>
      <c r="AA16" s="667"/>
      <c r="AB16" s="667"/>
      <c r="AC16" s="663"/>
      <c r="AD16" s="663"/>
      <c r="AE16" s="661"/>
      <c r="AF16" s="661"/>
      <c r="AG16" s="661"/>
      <c r="AH16" s="663"/>
      <c r="AI16" s="663"/>
      <c r="AJ16" s="243"/>
      <c r="AK16" s="667"/>
      <c r="AL16" s="668"/>
      <c r="AM16" s="668"/>
      <c r="AN16" s="668"/>
      <c r="AO16" s="667"/>
      <c r="AP16" s="667"/>
      <c r="AQ16" s="667"/>
      <c r="AR16" s="667"/>
      <c r="AS16" s="663"/>
      <c r="AT16" s="243"/>
      <c r="AU16" s="667"/>
      <c r="AV16" s="668"/>
      <c r="AW16" s="668"/>
      <c r="AX16" s="668"/>
      <c r="AY16" s="667"/>
      <c r="AZ16" s="667"/>
      <c r="BA16" s="667"/>
      <c r="BB16" s="667"/>
    </row>
    <row r="17" spans="1:54" ht="14.25">
      <c r="A17" s="104"/>
      <c r="B17" s="207"/>
      <c r="C17" s="207"/>
      <c r="D17" s="207"/>
      <c r="E17" s="207"/>
      <c r="F17" s="207"/>
      <c r="G17" s="335"/>
      <c r="H17" s="106"/>
      <c r="I17" s="667"/>
      <c r="J17" s="668"/>
      <c r="K17" s="668"/>
      <c r="L17" s="668"/>
      <c r="M17" s="667"/>
      <c r="N17" s="667"/>
      <c r="O17" s="667"/>
      <c r="P17" s="667"/>
      <c r="Q17" s="661"/>
      <c r="R17" s="661"/>
      <c r="S17" s="661"/>
      <c r="T17" s="661"/>
      <c r="U17" s="667"/>
      <c r="V17" s="668"/>
      <c r="W17" s="668"/>
      <c r="X17" s="668"/>
      <c r="Y17" s="667"/>
      <c r="Z17" s="667"/>
      <c r="AA17" s="667"/>
      <c r="AB17" s="667"/>
      <c r="AC17" s="663"/>
      <c r="AD17" s="663"/>
      <c r="AE17" s="661"/>
      <c r="AF17" s="661"/>
      <c r="AG17" s="661"/>
      <c r="AH17" s="663"/>
      <c r="AI17" s="663"/>
      <c r="AJ17" s="243"/>
      <c r="AK17" s="667"/>
      <c r="AL17" s="668"/>
      <c r="AM17" s="668"/>
      <c r="AN17" s="668"/>
      <c r="AO17" s="667"/>
      <c r="AP17" s="667"/>
      <c r="AQ17" s="667"/>
      <c r="AR17" s="667"/>
      <c r="AS17" s="663"/>
      <c r="AT17" s="243"/>
      <c r="AU17" s="667"/>
      <c r="AV17" s="668"/>
      <c r="AW17" s="668"/>
      <c r="AX17" s="668"/>
      <c r="AY17" s="667"/>
      <c r="AZ17" s="667"/>
      <c r="BA17" s="667"/>
      <c r="BB17" s="667"/>
    </row>
    <row r="18" spans="1:54" s="33" customFormat="1" ht="14.25">
      <c r="A18" s="232"/>
      <c r="B18" s="207" t="s">
        <v>226</v>
      </c>
      <c r="C18" s="207"/>
      <c r="D18" s="207"/>
      <c r="E18" s="207"/>
      <c r="F18" s="207"/>
      <c r="G18" s="335"/>
      <c r="H18" s="106"/>
      <c r="I18" s="667"/>
      <c r="J18" s="668"/>
      <c r="K18" s="668"/>
      <c r="L18" s="668"/>
      <c r="M18" s="667"/>
      <c r="N18" s="667"/>
      <c r="O18" s="667"/>
      <c r="P18" s="667"/>
      <c r="Q18" s="669"/>
      <c r="R18" s="669"/>
      <c r="S18" s="669"/>
      <c r="T18" s="669"/>
      <c r="U18" s="667"/>
      <c r="V18" s="668"/>
      <c r="W18" s="668"/>
      <c r="X18" s="668"/>
      <c r="Y18" s="667"/>
      <c r="Z18" s="667"/>
      <c r="AA18" s="667"/>
      <c r="AB18" s="667"/>
      <c r="AC18" s="667"/>
      <c r="AD18" s="667"/>
      <c r="AE18" s="667"/>
      <c r="AF18" s="667"/>
      <c r="AG18" s="667"/>
      <c r="AH18" s="663"/>
      <c r="AI18" s="667"/>
      <c r="AJ18" s="243"/>
      <c r="AK18" s="667"/>
      <c r="AL18" s="668"/>
      <c r="AM18" s="668"/>
      <c r="AN18" s="668"/>
      <c r="AO18" s="667"/>
      <c r="AP18" s="667"/>
      <c r="AQ18" s="667"/>
      <c r="AR18" s="667"/>
      <c r="AS18" s="667"/>
      <c r="AT18" s="243"/>
      <c r="AU18" s="667"/>
      <c r="AV18" s="668"/>
      <c r="AW18" s="668"/>
      <c r="AX18" s="668"/>
      <c r="AY18" s="667"/>
      <c r="AZ18" s="667"/>
      <c r="BA18" s="667"/>
      <c r="BB18" s="667"/>
    </row>
    <row r="19" spans="1:54" s="33" customFormat="1" ht="14.25">
      <c r="A19" s="232"/>
      <c r="B19" s="207" t="s">
        <v>227</v>
      </c>
      <c r="C19" s="207"/>
      <c r="D19" s="207"/>
      <c r="E19" s="207"/>
      <c r="F19" s="207"/>
      <c r="G19" s="335"/>
      <c r="H19" s="106"/>
      <c r="I19" s="667"/>
      <c r="J19" s="668"/>
      <c r="K19" s="668"/>
      <c r="L19" s="668"/>
      <c r="M19" s="667"/>
      <c r="N19" s="667"/>
      <c r="O19" s="667"/>
      <c r="P19" s="667"/>
      <c r="Q19" s="669"/>
      <c r="R19" s="669"/>
      <c r="S19" s="669"/>
      <c r="T19" s="669"/>
      <c r="U19" s="667"/>
      <c r="V19" s="668"/>
      <c r="W19" s="668"/>
      <c r="X19" s="668"/>
      <c r="Y19" s="667"/>
      <c r="Z19" s="667"/>
      <c r="AA19" s="667"/>
      <c r="AB19" s="667"/>
      <c r="AC19" s="667"/>
      <c r="AD19" s="667"/>
      <c r="AE19" s="667"/>
      <c r="AF19" s="667"/>
      <c r="AG19" s="667"/>
      <c r="AH19" s="663"/>
      <c r="AI19" s="667"/>
      <c r="AJ19" s="243"/>
      <c r="AK19" s="667"/>
      <c r="AL19" s="668"/>
      <c r="AM19" s="668"/>
      <c r="AN19" s="668"/>
      <c r="AO19" s="667"/>
      <c r="AP19" s="667"/>
      <c r="AQ19" s="667"/>
      <c r="AR19" s="667"/>
      <c r="AS19" s="667"/>
      <c r="AT19" s="243"/>
      <c r="AU19" s="667"/>
      <c r="AV19" s="668"/>
      <c r="AW19" s="668"/>
      <c r="AX19" s="668"/>
      <c r="AY19" s="667"/>
      <c r="AZ19" s="667"/>
      <c r="BA19" s="667"/>
      <c r="BB19" s="667"/>
    </row>
    <row r="20" spans="1:54" ht="14.25">
      <c r="A20" s="104">
        <v>1</v>
      </c>
      <c r="B20" s="104"/>
      <c r="C20" s="243"/>
      <c r="D20" s="243"/>
      <c r="E20" s="243"/>
      <c r="F20" s="243"/>
      <c r="G20" s="337"/>
      <c r="H20" s="658"/>
      <c r="I20" s="659">
        <f>66140*H20</f>
        <v>0</v>
      </c>
      <c r="J20" s="660">
        <f>F20*I20*2%</f>
        <v>0</v>
      </c>
      <c r="K20" s="660">
        <f>+I20*G20</f>
        <v>0</v>
      </c>
      <c r="L20" s="660">
        <f>+J20+K20</f>
        <v>0</v>
      </c>
      <c r="M20" s="659">
        <f>IF((L20&gt;I20*30%),I20*30%,L20)</f>
        <v>0</v>
      </c>
      <c r="N20" s="659"/>
      <c r="O20" s="659"/>
      <c r="P20" s="661">
        <f>+I20+M20+N20+O20</f>
        <v>0</v>
      </c>
      <c r="Q20" s="662"/>
      <c r="R20" s="662"/>
      <c r="S20" s="662"/>
      <c r="T20" s="662"/>
      <c r="U20" s="659">
        <f>66140*T20</f>
        <v>0</v>
      </c>
      <c r="V20" s="660">
        <f>R20*U20*2%</f>
        <v>0</v>
      </c>
      <c r="W20" s="660">
        <f>+U20*G20</f>
        <v>0</v>
      </c>
      <c r="X20" s="660">
        <f>+V20+W20</f>
        <v>0</v>
      </c>
      <c r="Y20" s="659">
        <f>IF((X20&gt;U20*30%),U20*30%,X20)</f>
        <v>0</v>
      </c>
      <c r="Z20" s="659"/>
      <c r="AA20" s="659"/>
      <c r="AB20" s="661">
        <f>+U20+Y20+Z20+AA20</f>
        <v>0</v>
      </c>
      <c r="AC20" s="661">
        <f>C20-Q20</f>
        <v>0</v>
      </c>
      <c r="AD20" s="661">
        <f>I20-U20</f>
        <v>0</v>
      </c>
      <c r="AE20" s="661">
        <f aca="true" t="shared" si="5" ref="AE20:AF22">+M20-Y20</f>
        <v>0</v>
      </c>
      <c r="AF20" s="661">
        <f t="shared" si="5"/>
        <v>0</v>
      </c>
      <c r="AG20" s="661">
        <f>O20-AA20</f>
        <v>0</v>
      </c>
      <c r="AH20" s="661">
        <f>AD20+AE20+AF20+AG20</f>
        <v>0</v>
      </c>
      <c r="AI20" s="663"/>
      <c r="AJ20" s="243">
        <f>+F20+1</f>
        <v>1</v>
      </c>
      <c r="AK20" s="659">
        <f>66140*H20</f>
        <v>0</v>
      </c>
      <c r="AL20" s="660">
        <f>AJ20*AK20*2%</f>
        <v>0</v>
      </c>
      <c r="AM20" s="660">
        <f>+AK20*G20</f>
        <v>0</v>
      </c>
      <c r="AN20" s="660">
        <f>+AL20+AM20</f>
        <v>0</v>
      </c>
      <c r="AO20" s="659">
        <f>IF((AN20&gt;AK20*30%),AK20*30%,AN20)</f>
        <v>0</v>
      </c>
      <c r="AP20" s="659">
        <f>+AK20</f>
        <v>0</v>
      </c>
      <c r="AQ20" s="659"/>
      <c r="AR20" s="661">
        <f>+AK20+AO20+AP20+AQ20</f>
        <v>0</v>
      </c>
      <c r="AS20" s="663"/>
      <c r="AT20" s="243">
        <f>+AJ20+1</f>
        <v>2</v>
      </c>
      <c r="AU20" s="659">
        <f>66140*H20</f>
        <v>0</v>
      </c>
      <c r="AV20" s="660">
        <f>AT20*AU20*2%</f>
        <v>0</v>
      </c>
      <c r="AW20" s="660">
        <f>+AU20*G1220</f>
        <v>0</v>
      </c>
      <c r="AX20" s="660">
        <f>+AV20+AW20</f>
        <v>0</v>
      </c>
      <c r="AY20" s="659">
        <f>IF((AX20&gt;AU20*30%),AU20*30%,AX20)</f>
        <v>0</v>
      </c>
      <c r="AZ20" s="659">
        <f>+AU20</f>
        <v>0</v>
      </c>
      <c r="BA20" s="659"/>
      <c r="BB20" s="661">
        <f>+AU20+AY20+AZ20+BA20</f>
        <v>0</v>
      </c>
    </row>
    <row r="21" spans="1:54" ht="14.25">
      <c r="A21" s="104">
        <v>2</v>
      </c>
      <c r="B21" s="104"/>
      <c r="C21" s="243"/>
      <c r="D21" s="243"/>
      <c r="E21" s="243"/>
      <c r="F21" s="243"/>
      <c r="G21" s="670"/>
      <c r="H21" s="658"/>
      <c r="I21" s="659">
        <f>66140*H21</f>
        <v>0</v>
      </c>
      <c r="J21" s="660">
        <f>F21*I21*2%</f>
        <v>0</v>
      </c>
      <c r="K21" s="660">
        <f>+I21*G21</f>
        <v>0</v>
      </c>
      <c r="L21" s="660">
        <f>+J21+K21</f>
        <v>0</v>
      </c>
      <c r="M21" s="659">
        <f>IF((L21&gt;I21*30%),I21*30%,L21)</f>
        <v>0</v>
      </c>
      <c r="N21" s="659"/>
      <c r="O21" s="659"/>
      <c r="P21" s="661">
        <f>+I21+M21+N21+O21</f>
        <v>0</v>
      </c>
      <c r="Q21" s="662"/>
      <c r="R21" s="662"/>
      <c r="S21" s="662"/>
      <c r="T21" s="662"/>
      <c r="U21" s="659">
        <f>66140*T21</f>
        <v>0</v>
      </c>
      <c r="V21" s="660">
        <f>R21*U21*2%</f>
        <v>0</v>
      </c>
      <c r="W21" s="660">
        <f>+U21*G21</f>
        <v>0</v>
      </c>
      <c r="X21" s="660">
        <f>+V21+W21</f>
        <v>0</v>
      </c>
      <c r="Y21" s="659">
        <f>IF((X21&gt;U21*30%),U21*30%,X21)</f>
        <v>0</v>
      </c>
      <c r="Z21" s="659"/>
      <c r="AA21" s="659"/>
      <c r="AB21" s="661">
        <f>+U21+Y21+Z21+AA21</f>
        <v>0</v>
      </c>
      <c r="AC21" s="661">
        <f>C21-Q21</f>
        <v>0</v>
      </c>
      <c r="AD21" s="661">
        <f>I21-U21</f>
        <v>0</v>
      </c>
      <c r="AE21" s="661">
        <f t="shared" si="5"/>
        <v>0</v>
      </c>
      <c r="AF21" s="661">
        <f t="shared" si="5"/>
        <v>0</v>
      </c>
      <c r="AG21" s="661">
        <f>O21-AA21</f>
        <v>0</v>
      </c>
      <c r="AH21" s="661">
        <f>AD21+AE21+AF21+AG21</f>
        <v>0</v>
      </c>
      <c r="AI21" s="663"/>
      <c r="AJ21" s="243">
        <f>+F21+1</f>
        <v>1</v>
      </c>
      <c r="AK21" s="659">
        <f>66140*H21</f>
        <v>0</v>
      </c>
      <c r="AL21" s="660">
        <f>AJ21*AK21*2%</f>
        <v>0</v>
      </c>
      <c r="AM21" s="660">
        <f>+AK21*G21</f>
        <v>0</v>
      </c>
      <c r="AN21" s="660">
        <f>+AL21+AM21</f>
        <v>0</v>
      </c>
      <c r="AO21" s="659">
        <f>IF((AN21&gt;AK21*30%),AK21*30%,AN21)</f>
        <v>0</v>
      </c>
      <c r="AP21" s="659">
        <f>+AK21</f>
        <v>0</v>
      </c>
      <c r="AQ21" s="659"/>
      <c r="AR21" s="661">
        <f>+AK21+AO21+AP21+AQ21</f>
        <v>0</v>
      </c>
      <c r="AS21" s="663"/>
      <c r="AT21" s="243">
        <f>+AJ21+1</f>
        <v>2</v>
      </c>
      <c r="AU21" s="659">
        <f>66140*H21</f>
        <v>0</v>
      </c>
      <c r="AV21" s="660">
        <f>AT21*AU21*2%</f>
        <v>0</v>
      </c>
      <c r="AW21" s="660">
        <f>+AU21*G1221</f>
        <v>0</v>
      </c>
      <c r="AX21" s="660">
        <f>+AV21+AW21</f>
        <v>0</v>
      </c>
      <c r="AY21" s="659">
        <f>IF((AX21&gt;AU21*30%),AU21*30%,AX21)</f>
        <v>0</v>
      </c>
      <c r="AZ21" s="659">
        <f>+AU21</f>
        <v>0</v>
      </c>
      <c r="BA21" s="659"/>
      <c r="BB21" s="661">
        <f>+AU21+AY21+AZ21+BA21</f>
        <v>0</v>
      </c>
    </row>
    <row r="22" spans="1:54" ht="14.25">
      <c r="A22" s="104">
        <v>3</v>
      </c>
      <c r="B22" s="104"/>
      <c r="C22" s="243"/>
      <c r="D22" s="243"/>
      <c r="E22" s="243"/>
      <c r="F22" s="243"/>
      <c r="G22" s="657"/>
      <c r="H22" s="658"/>
      <c r="I22" s="659">
        <f>66140*H22</f>
        <v>0</v>
      </c>
      <c r="J22" s="660">
        <f>F22*I22*2%</f>
        <v>0</v>
      </c>
      <c r="K22" s="660">
        <f>+I22*G22</f>
        <v>0</v>
      </c>
      <c r="L22" s="660">
        <f>+J22+K22</f>
        <v>0</v>
      </c>
      <c r="M22" s="659">
        <f>IF((L22&gt;I22*30%),I22*30%,L22)</f>
        <v>0</v>
      </c>
      <c r="N22" s="659"/>
      <c r="O22" s="659"/>
      <c r="P22" s="661">
        <f>+I22+M22+N22+O22</f>
        <v>0</v>
      </c>
      <c r="Q22" s="664"/>
      <c r="R22" s="664"/>
      <c r="S22" s="664"/>
      <c r="T22" s="664"/>
      <c r="U22" s="659">
        <f>66140*T22</f>
        <v>0</v>
      </c>
      <c r="V22" s="660">
        <f>R22*U22*2%</f>
        <v>0</v>
      </c>
      <c r="W22" s="660">
        <f>+U22*G22</f>
        <v>0</v>
      </c>
      <c r="X22" s="660">
        <f>+V22+W22</f>
        <v>0</v>
      </c>
      <c r="Y22" s="659">
        <f>IF((X22&gt;U22*30%),U22*30%,X22)</f>
        <v>0</v>
      </c>
      <c r="Z22" s="659"/>
      <c r="AA22" s="659"/>
      <c r="AB22" s="661">
        <f>+U22+Y22+Z22+AA22</f>
        <v>0</v>
      </c>
      <c r="AC22" s="661">
        <f>C22-Q22</f>
        <v>0</v>
      </c>
      <c r="AD22" s="661">
        <f>I22-U22</f>
        <v>0</v>
      </c>
      <c r="AE22" s="661">
        <f t="shared" si="5"/>
        <v>0</v>
      </c>
      <c r="AF22" s="661">
        <f t="shared" si="5"/>
        <v>0</v>
      </c>
      <c r="AG22" s="661">
        <f>O22-AA22</f>
        <v>0</v>
      </c>
      <c r="AH22" s="661">
        <f>AD22+AE22+AF22+AG22</f>
        <v>0</v>
      </c>
      <c r="AI22" s="663"/>
      <c r="AJ22" s="243">
        <f>+F22+1</f>
        <v>1</v>
      </c>
      <c r="AK22" s="659">
        <f>66140*H22</f>
        <v>0</v>
      </c>
      <c r="AL22" s="660">
        <f>AJ22*AK22*2%</f>
        <v>0</v>
      </c>
      <c r="AM22" s="660">
        <f>+AK22*G22</f>
        <v>0</v>
      </c>
      <c r="AN22" s="660">
        <f>+AL22+AM22</f>
        <v>0</v>
      </c>
      <c r="AO22" s="659">
        <f>IF((AN22&gt;AK22*30%),AK22*30%,AN22)</f>
        <v>0</v>
      </c>
      <c r="AP22" s="659">
        <f>+AK22</f>
        <v>0</v>
      </c>
      <c r="AQ22" s="659"/>
      <c r="AR22" s="661">
        <f>+AK22+AO22+AP22+AQ22</f>
        <v>0</v>
      </c>
      <c r="AS22" s="663"/>
      <c r="AT22" s="243">
        <f>+AJ22+1</f>
        <v>2</v>
      </c>
      <c r="AU22" s="659">
        <f>66140*H22</f>
        <v>0</v>
      </c>
      <c r="AV22" s="660">
        <f>AT22*AU22*2%</f>
        <v>0</v>
      </c>
      <c r="AW22" s="660">
        <f>+AU22*G1222</f>
        <v>0</v>
      </c>
      <c r="AX22" s="660">
        <f>+AV22+AW22</f>
        <v>0</v>
      </c>
      <c r="AY22" s="659">
        <f>IF((AX22&gt;AU22*30%),AU22*30%,AX22)</f>
        <v>0</v>
      </c>
      <c r="AZ22" s="659">
        <f>+AU22</f>
        <v>0</v>
      </c>
      <c r="BA22" s="659"/>
      <c r="BB22" s="661">
        <f>+AU22+AY22+AZ22+BA22</f>
        <v>0</v>
      </c>
    </row>
    <row r="23" spans="1:54" s="333" customFormat="1" ht="13.5">
      <c r="A23" s="278"/>
      <c r="B23" s="251" t="s">
        <v>263</v>
      </c>
      <c r="C23" s="280">
        <f>SUM(C20:C22)</f>
        <v>0</v>
      </c>
      <c r="D23" s="280" t="s">
        <v>1</v>
      </c>
      <c r="E23" s="280" t="s">
        <v>1</v>
      </c>
      <c r="F23" s="280" t="s">
        <v>1</v>
      </c>
      <c r="G23" s="280" t="s">
        <v>1</v>
      </c>
      <c r="H23" s="665" t="s">
        <v>1</v>
      </c>
      <c r="I23" s="661">
        <f aca="true" t="shared" si="6" ref="I23:Q23">SUM(I20:I22)</f>
        <v>0</v>
      </c>
      <c r="J23" s="666">
        <f t="shared" si="6"/>
        <v>0</v>
      </c>
      <c r="K23" s="666">
        <f t="shared" si="6"/>
        <v>0</v>
      </c>
      <c r="L23" s="666">
        <f t="shared" si="6"/>
        <v>0</v>
      </c>
      <c r="M23" s="661">
        <f t="shared" si="6"/>
        <v>0</v>
      </c>
      <c r="N23" s="661">
        <f t="shared" si="6"/>
        <v>0</v>
      </c>
      <c r="O23" s="661">
        <f t="shared" si="6"/>
        <v>0</v>
      </c>
      <c r="P23" s="661">
        <f t="shared" si="6"/>
        <v>0</v>
      </c>
      <c r="Q23" s="661">
        <f t="shared" si="6"/>
        <v>0</v>
      </c>
      <c r="R23" s="661" t="s">
        <v>1</v>
      </c>
      <c r="S23" s="661" t="s">
        <v>1</v>
      </c>
      <c r="T23" s="661" t="s">
        <v>1</v>
      </c>
      <c r="U23" s="661">
        <f aca="true" t="shared" si="7" ref="U23:AB23">SUM(U20:U22)</f>
        <v>0</v>
      </c>
      <c r="V23" s="666">
        <f t="shared" si="7"/>
        <v>0</v>
      </c>
      <c r="W23" s="666">
        <f t="shared" si="7"/>
        <v>0</v>
      </c>
      <c r="X23" s="666">
        <f t="shared" si="7"/>
        <v>0</v>
      </c>
      <c r="Y23" s="661">
        <f t="shared" si="7"/>
        <v>0</v>
      </c>
      <c r="Z23" s="661">
        <f t="shared" si="7"/>
        <v>0</v>
      </c>
      <c r="AA23" s="661">
        <f t="shared" si="7"/>
        <v>0</v>
      </c>
      <c r="AB23" s="661">
        <f t="shared" si="7"/>
        <v>0</v>
      </c>
      <c r="AC23" s="661">
        <f aca="true" t="shared" si="8" ref="AC23:AN23">SUM(AC20:AC22)</f>
        <v>0</v>
      </c>
      <c r="AD23" s="661">
        <f t="shared" si="8"/>
        <v>0</v>
      </c>
      <c r="AE23" s="661">
        <f t="shared" si="8"/>
        <v>0</v>
      </c>
      <c r="AF23" s="661">
        <f t="shared" si="8"/>
        <v>0</v>
      </c>
      <c r="AG23" s="661">
        <f t="shared" si="8"/>
        <v>0</v>
      </c>
      <c r="AH23" s="661">
        <f t="shared" si="8"/>
        <v>0</v>
      </c>
      <c r="AI23" s="661">
        <f t="shared" si="8"/>
        <v>0</v>
      </c>
      <c r="AJ23" s="243"/>
      <c r="AK23" s="661">
        <f t="shared" si="8"/>
        <v>0</v>
      </c>
      <c r="AL23" s="666">
        <f t="shared" si="8"/>
        <v>0</v>
      </c>
      <c r="AM23" s="666">
        <f t="shared" si="8"/>
        <v>0</v>
      </c>
      <c r="AN23" s="666">
        <f t="shared" si="8"/>
        <v>0</v>
      </c>
      <c r="AO23" s="661">
        <f aca="true" t="shared" si="9" ref="AO23:AX23">SUM(AO20:AO22)</f>
        <v>0</v>
      </c>
      <c r="AP23" s="661">
        <f t="shared" si="9"/>
        <v>0</v>
      </c>
      <c r="AQ23" s="661">
        <f t="shared" si="9"/>
        <v>0</v>
      </c>
      <c r="AR23" s="661">
        <f t="shared" si="9"/>
        <v>0</v>
      </c>
      <c r="AS23" s="661">
        <f t="shared" si="9"/>
        <v>0</v>
      </c>
      <c r="AT23" s="243"/>
      <c r="AU23" s="661">
        <f t="shared" si="9"/>
        <v>0</v>
      </c>
      <c r="AV23" s="666">
        <f t="shared" si="9"/>
        <v>0</v>
      </c>
      <c r="AW23" s="666">
        <f t="shared" si="9"/>
        <v>0</v>
      </c>
      <c r="AX23" s="666">
        <f t="shared" si="9"/>
        <v>0</v>
      </c>
      <c r="AY23" s="661">
        <f>SUM(AY20:AY22)</f>
        <v>0</v>
      </c>
      <c r="AZ23" s="661">
        <f>SUM(AZ20:AZ22)</f>
        <v>0</v>
      </c>
      <c r="BA23" s="661">
        <f>SUM(BA20:BA22)</f>
        <v>0</v>
      </c>
      <c r="BB23" s="661">
        <f>SUM(BB20:BB22)</f>
        <v>0</v>
      </c>
    </row>
    <row r="24" spans="1:54" s="333" customFormat="1" ht="13.5">
      <c r="A24" s="278"/>
      <c r="B24" s="251"/>
      <c r="C24" s="251"/>
      <c r="D24" s="251"/>
      <c r="E24" s="251"/>
      <c r="F24" s="251"/>
      <c r="G24" s="338"/>
      <c r="H24" s="251"/>
      <c r="I24" s="671"/>
      <c r="J24" s="672"/>
      <c r="K24" s="672"/>
      <c r="L24" s="672"/>
      <c r="M24" s="671"/>
      <c r="N24" s="671"/>
      <c r="O24" s="671"/>
      <c r="P24" s="671"/>
      <c r="Q24" s="661"/>
      <c r="R24" s="661"/>
      <c r="S24" s="661"/>
      <c r="T24" s="661"/>
      <c r="U24" s="671"/>
      <c r="V24" s="672"/>
      <c r="W24" s="672"/>
      <c r="X24" s="672"/>
      <c r="Y24" s="671"/>
      <c r="Z24" s="671"/>
      <c r="AA24" s="671"/>
      <c r="AB24" s="671"/>
      <c r="AC24" s="661"/>
      <c r="AD24" s="661"/>
      <c r="AE24" s="661"/>
      <c r="AF24" s="661"/>
      <c r="AG24" s="661"/>
      <c r="AH24" s="661"/>
      <c r="AI24" s="661"/>
      <c r="AJ24" s="243"/>
      <c r="AK24" s="671"/>
      <c r="AL24" s="672"/>
      <c r="AM24" s="672"/>
      <c r="AN24" s="672"/>
      <c r="AO24" s="671"/>
      <c r="AP24" s="671"/>
      <c r="AQ24" s="671"/>
      <c r="AR24" s="671"/>
      <c r="AS24" s="661"/>
      <c r="AT24" s="243"/>
      <c r="AU24" s="671"/>
      <c r="AV24" s="672"/>
      <c r="AW24" s="672"/>
      <c r="AX24" s="672"/>
      <c r="AY24" s="671"/>
      <c r="AZ24" s="671"/>
      <c r="BA24" s="671"/>
      <c r="BB24" s="671"/>
    </row>
    <row r="25" spans="1:54" s="333" customFormat="1" ht="13.5">
      <c r="A25" s="278"/>
      <c r="B25" s="251"/>
      <c r="C25" s="251"/>
      <c r="D25" s="251"/>
      <c r="E25" s="251"/>
      <c r="F25" s="251"/>
      <c r="G25" s="338"/>
      <c r="H25" s="251"/>
      <c r="I25" s="671"/>
      <c r="J25" s="672"/>
      <c r="K25" s="672"/>
      <c r="L25" s="672"/>
      <c r="M25" s="671"/>
      <c r="N25" s="671"/>
      <c r="O25" s="671"/>
      <c r="P25" s="671"/>
      <c r="Q25" s="661"/>
      <c r="R25" s="661"/>
      <c r="S25" s="661"/>
      <c r="T25" s="661"/>
      <c r="U25" s="671"/>
      <c r="V25" s="672"/>
      <c r="W25" s="672"/>
      <c r="X25" s="672"/>
      <c r="Y25" s="671"/>
      <c r="Z25" s="671"/>
      <c r="AA25" s="671"/>
      <c r="AB25" s="671"/>
      <c r="AC25" s="661"/>
      <c r="AD25" s="661"/>
      <c r="AE25" s="661"/>
      <c r="AF25" s="661"/>
      <c r="AG25" s="661"/>
      <c r="AH25" s="661"/>
      <c r="AI25" s="661"/>
      <c r="AJ25" s="243"/>
      <c r="AK25" s="671"/>
      <c r="AL25" s="672"/>
      <c r="AM25" s="672"/>
      <c r="AN25" s="672"/>
      <c r="AO25" s="671"/>
      <c r="AP25" s="671"/>
      <c r="AQ25" s="671"/>
      <c r="AR25" s="671"/>
      <c r="AS25" s="661"/>
      <c r="AT25" s="243"/>
      <c r="AU25" s="671"/>
      <c r="AV25" s="672"/>
      <c r="AW25" s="672"/>
      <c r="AX25" s="672"/>
      <c r="AY25" s="671"/>
      <c r="AZ25" s="671"/>
      <c r="BA25" s="671"/>
      <c r="BB25" s="671"/>
    </row>
    <row r="26" spans="1:54" s="33" customFormat="1" ht="14.25">
      <c r="A26" s="232"/>
      <c r="B26" s="207" t="s">
        <v>226</v>
      </c>
      <c r="C26" s="207"/>
      <c r="D26" s="207"/>
      <c r="E26" s="207"/>
      <c r="F26" s="207"/>
      <c r="G26" s="335"/>
      <c r="H26" s="106"/>
      <c r="I26" s="667"/>
      <c r="J26" s="668"/>
      <c r="K26" s="668"/>
      <c r="L26" s="668"/>
      <c r="M26" s="667"/>
      <c r="N26" s="667"/>
      <c r="O26" s="667"/>
      <c r="P26" s="667"/>
      <c r="Q26" s="669"/>
      <c r="R26" s="669"/>
      <c r="S26" s="669"/>
      <c r="T26" s="669"/>
      <c r="U26" s="667"/>
      <c r="V26" s="668"/>
      <c r="W26" s="668"/>
      <c r="X26" s="668"/>
      <c r="Y26" s="667"/>
      <c r="Z26" s="667"/>
      <c r="AA26" s="667"/>
      <c r="AB26" s="667"/>
      <c r="AC26" s="667"/>
      <c r="AD26" s="667"/>
      <c r="AE26" s="667"/>
      <c r="AF26" s="667"/>
      <c r="AG26" s="667"/>
      <c r="AH26" s="663"/>
      <c r="AI26" s="667"/>
      <c r="AJ26" s="243"/>
      <c r="AK26" s="667"/>
      <c r="AL26" s="668"/>
      <c r="AM26" s="668"/>
      <c r="AN26" s="668"/>
      <c r="AO26" s="667"/>
      <c r="AP26" s="667"/>
      <c r="AQ26" s="667"/>
      <c r="AR26" s="667"/>
      <c r="AS26" s="667"/>
      <c r="AT26" s="243"/>
      <c r="AU26" s="667"/>
      <c r="AV26" s="668"/>
      <c r="AW26" s="668"/>
      <c r="AX26" s="668"/>
      <c r="AY26" s="667"/>
      <c r="AZ26" s="667"/>
      <c r="BA26" s="667"/>
      <c r="BB26" s="667"/>
    </row>
    <row r="27" spans="1:54" s="33" customFormat="1" ht="14.25">
      <c r="A27" s="232"/>
      <c r="B27" s="207" t="s">
        <v>227</v>
      </c>
      <c r="C27" s="207"/>
      <c r="D27" s="207"/>
      <c r="E27" s="207"/>
      <c r="F27" s="207"/>
      <c r="G27" s="335"/>
      <c r="H27" s="106"/>
      <c r="I27" s="667"/>
      <c r="J27" s="668"/>
      <c r="K27" s="668"/>
      <c r="L27" s="668"/>
      <c r="M27" s="667"/>
      <c r="N27" s="667"/>
      <c r="O27" s="667"/>
      <c r="P27" s="667"/>
      <c r="Q27" s="669"/>
      <c r="R27" s="669"/>
      <c r="S27" s="669"/>
      <c r="T27" s="669"/>
      <c r="U27" s="667"/>
      <c r="V27" s="668"/>
      <c r="W27" s="668"/>
      <c r="X27" s="668"/>
      <c r="Y27" s="667"/>
      <c r="Z27" s="667"/>
      <c r="AA27" s="667"/>
      <c r="AB27" s="667"/>
      <c r="AC27" s="667"/>
      <c r="AD27" s="667"/>
      <c r="AE27" s="667"/>
      <c r="AF27" s="667"/>
      <c r="AG27" s="667"/>
      <c r="AH27" s="663"/>
      <c r="AI27" s="667"/>
      <c r="AJ27" s="243"/>
      <c r="AK27" s="667"/>
      <c r="AL27" s="668"/>
      <c r="AM27" s="668"/>
      <c r="AN27" s="668"/>
      <c r="AO27" s="667"/>
      <c r="AP27" s="667"/>
      <c r="AQ27" s="667"/>
      <c r="AR27" s="667"/>
      <c r="AS27" s="667"/>
      <c r="AT27" s="243"/>
      <c r="AU27" s="667"/>
      <c r="AV27" s="668"/>
      <c r="AW27" s="668"/>
      <c r="AX27" s="668"/>
      <c r="AY27" s="667"/>
      <c r="AZ27" s="667"/>
      <c r="BA27" s="667"/>
      <c r="BB27" s="667"/>
    </row>
    <row r="28" spans="1:54" ht="14.25">
      <c r="A28" s="104">
        <v>1</v>
      </c>
      <c r="B28" s="104"/>
      <c r="C28" s="243"/>
      <c r="D28" s="243"/>
      <c r="E28" s="243"/>
      <c r="F28" s="243"/>
      <c r="G28" s="337"/>
      <c r="H28" s="658"/>
      <c r="I28" s="659">
        <f>66140*H28</f>
        <v>0</v>
      </c>
      <c r="J28" s="660">
        <f>F28*I28*2%</f>
        <v>0</v>
      </c>
      <c r="K28" s="660">
        <f>+I28*G28</f>
        <v>0</v>
      </c>
      <c r="L28" s="660">
        <f>+J28+K28</f>
        <v>0</v>
      </c>
      <c r="M28" s="659">
        <f>IF((L28&gt;I28*30%),I28*30%,L28)</f>
        <v>0</v>
      </c>
      <c r="N28" s="659"/>
      <c r="O28" s="659"/>
      <c r="P28" s="661">
        <f>+I28+M28+N28+O28</f>
        <v>0</v>
      </c>
      <c r="Q28" s="662"/>
      <c r="R28" s="662"/>
      <c r="S28" s="662"/>
      <c r="T28" s="662"/>
      <c r="U28" s="659">
        <f>66140*T28</f>
        <v>0</v>
      </c>
      <c r="V28" s="660">
        <f>R28*U28*2%</f>
        <v>0</v>
      </c>
      <c r="W28" s="660">
        <f>+U28*G28</f>
        <v>0</v>
      </c>
      <c r="X28" s="660">
        <f>+V28+W28</f>
        <v>0</v>
      </c>
      <c r="Y28" s="659">
        <f>IF((X28&gt;U28*30%),U28*30%,X28)</f>
        <v>0</v>
      </c>
      <c r="Z28" s="659"/>
      <c r="AA28" s="659"/>
      <c r="AB28" s="661">
        <f>+U28+Y28+Z28+AA28</f>
        <v>0</v>
      </c>
      <c r="AC28" s="661">
        <f>C28-Q28</f>
        <v>0</v>
      </c>
      <c r="AD28" s="661">
        <f>I28-U28</f>
        <v>0</v>
      </c>
      <c r="AE28" s="661">
        <f aca="true" t="shared" si="10" ref="AE28:AF30">+M28-Y28</f>
        <v>0</v>
      </c>
      <c r="AF28" s="661">
        <f t="shared" si="10"/>
        <v>0</v>
      </c>
      <c r="AG28" s="661">
        <f>O28-AA28</f>
        <v>0</v>
      </c>
      <c r="AH28" s="661">
        <f>AD28+AE28+AF28+AG28</f>
        <v>0</v>
      </c>
      <c r="AI28" s="663"/>
      <c r="AJ28" s="243">
        <f>+F28+1</f>
        <v>1</v>
      </c>
      <c r="AK28" s="659">
        <f>66140*H28</f>
        <v>0</v>
      </c>
      <c r="AL28" s="660">
        <f>AJ28*AK28*2%</f>
        <v>0</v>
      </c>
      <c r="AM28" s="660">
        <f>+AK28*G28</f>
        <v>0</v>
      </c>
      <c r="AN28" s="660">
        <f>+AL28+AM28</f>
        <v>0</v>
      </c>
      <c r="AO28" s="659">
        <f>IF((AN28&gt;AK28*30%),AK28*30%,AN28)</f>
        <v>0</v>
      </c>
      <c r="AP28" s="659">
        <f>+AK28</f>
        <v>0</v>
      </c>
      <c r="AQ28" s="659"/>
      <c r="AR28" s="661">
        <f>+AK28+AO28+AP28+AQ28</f>
        <v>0</v>
      </c>
      <c r="AS28" s="663"/>
      <c r="AT28" s="243">
        <f>+AJ28+1</f>
        <v>2</v>
      </c>
      <c r="AU28" s="659">
        <f>66140*H28</f>
        <v>0</v>
      </c>
      <c r="AV28" s="660">
        <f>AT28*AU28*2%</f>
        <v>0</v>
      </c>
      <c r="AW28" s="660">
        <f>+AU28*G1228</f>
        <v>0</v>
      </c>
      <c r="AX28" s="660">
        <f>+AV28+AW28</f>
        <v>0</v>
      </c>
      <c r="AY28" s="659">
        <f>IF((AX28&gt;AU28*30%),AU28*30%,AX28)</f>
        <v>0</v>
      </c>
      <c r="AZ28" s="659">
        <f>+AU28</f>
        <v>0</v>
      </c>
      <c r="BA28" s="659"/>
      <c r="BB28" s="661">
        <f>+AU28+AY28+AZ28+BA28</f>
        <v>0</v>
      </c>
    </row>
    <row r="29" spans="1:54" ht="14.25">
      <c r="A29" s="104">
        <v>2</v>
      </c>
      <c r="B29" s="104"/>
      <c r="C29" s="243"/>
      <c r="D29" s="243"/>
      <c r="E29" s="243"/>
      <c r="F29" s="337"/>
      <c r="G29" s="670"/>
      <c r="H29" s="658"/>
      <c r="I29" s="659">
        <f>66140*H29</f>
        <v>0</v>
      </c>
      <c r="J29" s="660">
        <f>F29*I29*2%</f>
        <v>0</v>
      </c>
      <c r="K29" s="660">
        <f>+I29*G29</f>
        <v>0</v>
      </c>
      <c r="L29" s="660">
        <f>+J29+K29</f>
        <v>0</v>
      </c>
      <c r="M29" s="659">
        <f>IF((L29&gt;I29*30%),I29*30%,L29)</f>
        <v>0</v>
      </c>
      <c r="N29" s="659"/>
      <c r="O29" s="659"/>
      <c r="P29" s="661">
        <f>+I29+M29+N29+O29</f>
        <v>0</v>
      </c>
      <c r="Q29" s="662"/>
      <c r="R29" s="662"/>
      <c r="S29" s="662"/>
      <c r="T29" s="662"/>
      <c r="U29" s="659">
        <f>66140*T29</f>
        <v>0</v>
      </c>
      <c r="V29" s="660">
        <f>R29*U29*2%</f>
        <v>0</v>
      </c>
      <c r="W29" s="660">
        <f>+U29*G29</f>
        <v>0</v>
      </c>
      <c r="X29" s="660">
        <f>+V29+W29</f>
        <v>0</v>
      </c>
      <c r="Y29" s="659">
        <f>IF((X29&gt;U29*30%),U29*30%,X29)</f>
        <v>0</v>
      </c>
      <c r="Z29" s="659"/>
      <c r="AA29" s="659"/>
      <c r="AB29" s="661">
        <f>+U29+Y29+Z29+AA29</f>
        <v>0</v>
      </c>
      <c r="AC29" s="661">
        <f>C29-Q29</f>
        <v>0</v>
      </c>
      <c r="AD29" s="661">
        <f>I29-U29</f>
        <v>0</v>
      </c>
      <c r="AE29" s="661">
        <f t="shared" si="10"/>
        <v>0</v>
      </c>
      <c r="AF29" s="661">
        <f t="shared" si="10"/>
        <v>0</v>
      </c>
      <c r="AG29" s="661">
        <f>O29-AA29</f>
        <v>0</v>
      </c>
      <c r="AH29" s="661">
        <f>AD29+AE29+AF29+AG29</f>
        <v>0</v>
      </c>
      <c r="AI29" s="663"/>
      <c r="AJ29" s="243">
        <f>+F29+1</f>
        <v>1</v>
      </c>
      <c r="AK29" s="659">
        <f>66140*H29</f>
        <v>0</v>
      </c>
      <c r="AL29" s="660">
        <f>AJ29*AK29*2%</f>
        <v>0</v>
      </c>
      <c r="AM29" s="660">
        <f>+AK29*G29</f>
        <v>0</v>
      </c>
      <c r="AN29" s="660">
        <f>+AL29+AM29</f>
        <v>0</v>
      </c>
      <c r="AO29" s="659">
        <f>IF((AN29&gt;AK29*30%),AK29*30%,AN29)</f>
        <v>0</v>
      </c>
      <c r="AP29" s="659">
        <f>+AK29</f>
        <v>0</v>
      </c>
      <c r="AQ29" s="659"/>
      <c r="AR29" s="661">
        <f>+AK29+AO29+AP29+AQ29</f>
        <v>0</v>
      </c>
      <c r="AS29" s="663"/>
      <c r="AT29" s="243">
        <f>+AJ29+1</f>
        <v>2</v>
      </c>
      <c r="AU29" s="659">
        <f>66140*H29</f>
        <v>0</v>
      </c>
      <c r="AV29" s="660">
        <f>AT29*AU29*2%</f>
        <v>0</v>
      </c>
      <c r="AW29" s="660">
        <f>+AU29*G1229</f>
        <v>0</v>
      </c>
      <c r="AX29" s="660">
        <f>+AV29+AW29</f>
        <v>0</v>
      </c>
      <c r="AY29" s="659">
        <f>IF((AX29&gt;AU29*30%),AU29*30%,AX29)</f>
        <v>0</v>
      </c>
      <c r="AZ29" s="659">
        <f>+AU29</f>
        <v>0</v>
      </c>
      <c r="BA29" s="659"/>
      <c r="BB29" s="661">
        <f>+AU29+AY29+AZ29+BA29</f>
        <v>0</v>
      </c>
    </row>
    <row r="30" spans="1:54" ht="14.25">
      <c r="A30" s="104">
        <v>3</v>
      </c>
      <c r="B30" s="104"/>
      <c r="C30" s="243"/>
      <c r="D30" s="243"/>
      <c r="E30" s="243"/>
      <c r="F30" s="337"/>
      <c r="G30" s="670"/>
      <c r="H30" s="658"/>
      <c r="I30" s="659">
        <f>66140*H30</f>
        <v>0</v>
      </c>
      <c r="J30" s="660">
        <f>F30*I30*2%</f>
        <v>0</v>
      </c>
      <c r="K30" s="660">
        <f>+I30*G30</f>
        <v>0</v>
      </c>
      <c r="L30" s="660">
        <f>+J30+K30</f>
        <v>0</v>
      </c>
      <c r="M30" s="659">
        <f>IF((L30&gt;I30*30%),I30*30%,L30)</f>
        <v>0</v>
      </c>
      <c r="N30" s="659"/>
      <c r="O30" s="659"/>
      <c r="P30" s="661">
        <f>+I30+M30+N30+O30</f>
        <v>0</v>
      </c>
      <c r="Q30" s="664"/>
      <c r="R30" s="664"/>
      <c r="S30" s="664"/>
      <c r="T30" s="664"/>
      <c r="U30" s="659">
        <f>66140*T30</f>
        <v>0</v>
      </c>
      <c r="V30" s="660">
        <f>R30*U30*2%</f>
        <v>0</v>
      </c>
      <c r="W30" s="660">
        <f>+U30*G30</f>
        <v>0</v>
      </c>
      <c r="X30" s="660">
        <f>+V30+W30</f>
        <v>0</v>
      </c>
      <c r="Y30" s="659">
        <f>IF((X30&gt;U30*30%),U30*30%,X30)</f>
        <v>0</v>
      </c>
      <c r="Z30" s="659"/>
      <c r="AA30" s="659"/>
      <c r="AB30" s="661">
        <f>+U30+Y30+Z30+AA30</f>
        <v>0</v>
      </c>
      <c r="AC30" s="661">
        <f>C30-Q30</f>
        <v>0</v>
      </c>
      <c r="AD30" s="661">
        <f>I30-U30</f>
        <v>0</v>
      </c>
      <c r="AE30" s="661">
        <f t="shared" si="10"/>
        <v>0</v>
      </c>
      <c r="AF30" s="661">
        <f t="shared" si="10"/>
        <v>0</v>
      </c>
      <c r="AG30" s="661">
        <f>O30-AA30</f>
        <v>0</v>
      </c>
      <c r="AH30" s="661">
        <f>AD30+AE30+AF30+AG30</f>
        <v>0</v>
      </c>
      <c r="AI30" s="663"/>
      <c r="AJ30" s="243">
        <f>+F30+1</f>
        <v>1</v>
      </c>
      <c r="AK30" s="659">
        <f>66140*H30</f>
        <v>0</v>
      </c>
      <c r="AL30" s="660">
        <f>AJ30*AK30*2%</f>
        <v>0</v>
      </c>
      <c r="AM30" s="660">
        <f>+AK30*G30</f>
        <v>0</v>
      </c>
      <c r="AN30" s="660">
        <f>+AL30+AM30</f>
        <v>0</v>
      </c>
      <c r="AO30" s="659">
        <f>IF((AN30&gt;AK30*30%),AK30*30%,AN30)</f>
        <v>0</v>
      </c>
      <c r="AP30" s="659">
        <f>+AK30</f>
        <v>0</v>
      </c>
      <c r="AQ30" s="659"/>
      <c r="AR30" s="661">
        <f>+AK30+AO30+AP30+AQ30</f>
        <v>0</v>
      </c>
      <c r="AS30" s="663"/>
      <c r="AT30" s="243">
        <f>+AJ30+1</f>
        <v>2</v>
      </c>
      <c r="AU30" s="659">
        <f>66140*H30</f>
        <v>0</v>
      </c>
      <c r="AV30" s="660">
        <f>AT30*AU30*2%</f>
        <v>0</v>
      </c>
      <c r="AW30" s="660">
        <f>+AU30*G1230</f>
        <v>0</v>
      </c>
      <c r="AX30" s="660">
        <f>+AV30+AW30</f>
        <v>0</v>
      </c>
      <c r="AY30" s="659">
        <f>IF((AX30&gt;AU30*30%),AU30*30%,AX30)</f>
        <v>0</v>
      </c>
      <c r="AZ30" s="659">
        <f>+AU30</f>
        <v>0</v>
      </c>
      <c r="BA30" s="659"/>
      <c r="BB30" s="661">
        <f>+AU30+AY30+AZ30+BA30</f>
        <v>0</v>
      </c>
    </row>
    <row r="31" spans="1:54" s="333" customFormat="1" ht="13.5">
      <c r="A31" s="278"/>
      <c r="B31" s="251" t="s">
        <v>263</v>
      </c>
      <c r="C31" s="280">
        <f>SUM(C28:C30)</f>
        <v>0</v>
      </c>
      <c r="D31" s="280" t="s">
        <v>1</v>
      </c>
      <c r="E31" s="280" t="s">
        <v>1</v>
      </c>
      <c r="F31" s="280" t="s">
        <v>1</v>
      </c>
      <c r="G31" s="280" t="s">
        <v>1</v>
      </c>
      <c r="H31" s="665" t="s">
        <v>1</v>
      </c>
      <c r="I31" s="661">
        <f aca="true" t="shared" si="11" ref="I31:Q31">SUM(I28:I30)</f>
        <v>0</v>
      </c>
      <c r="J31" s="666">
        <f t="shared" si="11"/>
        <v>0</v>
      </c>
      <c r="K31" s="666">
        <f t="shared" si="11"/>
        <v>0</v>
      </c>
      <c r="L31" s="666">
        <f t="shared" si="11"/>
        <v>0</v>
      </c>
      <c r="M31" s="661">
        <f t="shared" si="11"/>
        <v>0</v>
      </c>
      <c r="N31" s="661">
        <f t="shared" si="11"/>
        <v>0</v>
      </c>
      <c r="O31" s="661">
        <f t="shared" si="11"/>
        <v>0</v>
      </c>
      <c r="P31" s="661">
        <f t="shared" si="11"/>
        <v>0</v>
      </c>
      <c r="Q31" s="661">
        <f t="shared" si="11"/>
        <v>0</v>
      </c>
      <c r="R31" s="661" t="s">
        <v>1</v>
      </c>
      <c r="S31" s="661" t="s">
        <v>1</v>
      </c>
      <c r="T31" s="661" t="s">
        <v>1</v>
      </c>
      <c r="U31" s="661">
        <f aca="true" t="shared" si="12" ref="U31:AB31">SUM(U28:U30)</f>
        <v>0</v>
      </c>
      <c r="V31" s="666">
        <f t="shared" si="12"/>
        <v>0</v>
      </c>
      <c r="W31" s="666">
        <f t="shared" si="12"/>
        <v>0</v>
      </c>
      <c r="X31" s="666">
        <f t="shared" si="12"/>
        <v>0</v>
      </c>
      <c r="Y31" s="661">
        <f t="shared" si="12"/>
        <v>0</v>
      </c>
      <c r="Z31" s="661">
        <f t="shared" si="12"/>
        <v>0</v>
      </c>
      <c r="AA31" s="661">
        <f t="shared" si="12"/>
        <v>0</v>
      </c>
      <c r="AB31" s="661">
        <f t="shared" si="12"/>
        <v>0</v>
      </c>
      <c r="AC31" s="661">
        <f aca="true" t="shared" si="13" ref="AC31:AN31">SUM(AC28:AC30)</f>
        <v>0</v>
      </c>
      <c r="AD31" s="661">
        <f t="shared" si="13"/>
        <v>0</v>
      </c>
      <c r="AE31" s="661">
        <f t="shared" si="13"/>
        <v>0</v>
      </c>
      <c r="AF31" s="661">
        <f t="shared" si="13"/>
        <v>0</v>
      </c>
      <c r="AG31" s="661">
        <f t="shared" si="13"/>
        <v>0</v>
      </c>
      <c r="AH31" s="661">
        <f t="shared" si="13"/>
        <v>0</v>
      </c>
      <c r="AI31" s="661">
        <f t="shared" si="13"/>
        <v>0</v>
      </c>
      <c r="AJ31" s="243"/>
      <c r="AK31" s="661">
        <f t="shared" si="13"/>
        <v>0</v>
      </c>
      <c r="AL31" s="666">
        <f t="shared" si="13"/>
        <v>0</v>
      </c>
      <c r="AM31" s="666">
        <f t="shared" si="13"/>
        <v>0</v>
      </c>
      <c r="AN31" s="666">
        <f t="shared" si="13"/>
        <v>0</v>
      </c>
      <c r="AO31" s="661">
        <f aca="true" t="shared" si="14" ref="AO31:AX31">SUM(AO28:AO30)</f>
        <v>0</v>
      </c>
      <c r="AP31" s="661">
        <f t="shared" si="14"/>
        <v>0</v>
      </c>
      <c r="AQ31" s="661">
        <f t="shared" si="14"/>
        <v>0</v>
      </c>
      <c r="AR31" s="661">
        <f t="shared" si="14"/>
        <v>0</v>
      </c>
      <c r="AS31" s="661">
        <f t="shared" si="14"/>
        <v>0</v>
      </c>
      <c r="AT31" s="243"/>
      <c r="AU31" s="661">
        <f t="shared" si="14"/>
        <v>0</v>
      </c>
      <c r="AV31" s="666">
        <f t="shared" si="14"/>
        <v>0</v>
      </c>
      <c r="AW31" s="666">
        <f t="shared" si="14"/>
        <v>0</v>
      </c>
      <c r="AX31" s="666">
        <f t="shared" si="14"/>
        <v>0</v>
      </c>
      <c r="AY31" s="661">
        <f>SUM(AY28:AY30)</f>
        <v>0</v>
      </c>
      <c r="AZ31" s="661">
        <f>SUM(AZ28:AZ30)</f>
        <v>0</v>
      </c>
      <c r="BA31" s="661">
        <f>SUM(BA28:BA30)</f>
        <v>0</v>
      </c>
      <c r="BB31" s="661">
        <f>SUM(BB28:BB30)</f>
        <v>0</v>
      </c>
    </row>
    <row r="32" spans="1:54" ht="14.25">
      <c r="A32" s="104"/>
      <c r="B32" s="104"/>
      <c r="C32" s="104"/>
      <c r="D32" s="104"/>
      <c r="E32" s="104"/>
      <c r="F32" s="104"/>
      <c r="G32" s="296"/>
      <c r="H32" s="106"/>
      <c r="I32" s="673"/>
      <c r="J32" s="674"/>
      <c r="K32" s="674"/>
      <c r="L32" s="674"/>
      <c r="M32" s="673"/>
      <c r="N32" s="673"/>
      <c r="O32" s="673"/>
      <c r="P32" s="673"/>
      <c r="Q32" s="675"/>
      <c r="R32" s="675"/>
      <c r="S32" s="675"/>
      <c r="T32" s="675"/>
      <c r="U32" s="673"/>
      <c r="V32" s="674"/>
      <c r="W32" s="674"/>
      <c r="X32" s="674"/>
      <c r="Y32" s="673"/>
      <c r="Z32" s="673"/>
      <c r="AA32" s="673"/>
      <c r="AB32" s="673"/>
      <c r="AC32" s="676"/>
      <c r="AD32" s="676"/>
      <c r="AE32" s="676"/>
      <c r="AF32" s="676"/>
      <c r="AG32" s="676"/>
      <c r="AH32" s="676"/>
      <c r="AI32" s="676"/>
      <c r="AJ32" s="676"/>
      <c r="AK32" s="673"/>
      <c r="AL32" s="674"/>
      <c r="AM32" s="674"/>
      <c r="AN32" s="674"/>
      <c r="AO32" s="673"/>
      <c r="AP32" s="673"/>
      <c r="AQ32" s="673"/>
      <c r="AR32" s="673"/>
      <c r="AS32" s="676"/>
      <c r="AT32" s="676"/>
      <c r="AU32" s="673"/>
      <c r="AV32" s="674"/>
      <c r="AW32" s="674"/>
      <c r="AX32" s="674"/>
      <c r="AY32" s="673"/>
      <c r="AZ32" s="673"/>
      <c r="BA32" s="673"/>
      <c r="BB32" s="673"/>
    </row>
    <row r="33" spans="1:54" s="334" customFormat="1" ht="56.25" customHeight="1">
      <c r="A33" s="277"/>
      <c r="B33" s="245" t="s">
        <v>530</v>
      </c>
      <c r="C33" s="248">
        <f>C15+C23+C31</f>
        <v>0</v>
      </c>
      <c r="D33" s="339" t="s">
        <v>1</v>
      </c>
      <c r="E33" s="339" t="s">
        <v>1</v>
      </c>
      <c r="F33" s="339" t="s">
        <v>1</v>
      </c>
      <c r="G33" s="339" t="s">
        <v>1</v>
      </c>
      <c r="H33" s="665" t="s">
        <v>1</v>
      </c>
      <c r="I33" s="676">
        <f aca="true" t="shared" si="15" ref="I33:AI33">I15+I23+I31</f>
        <v>0</v>
      </c>
      <c r="J33" s="677" t="s">
        <v>1</v>
      </c>
      <c r="K33" s="677" t="s">
        <v>1</v>
      </c>
      <c r="L33" s="677">
        <f t="shared" si="15"/>
        <v>0</v>
      </c>
      <c r="M33" s="676">
        <f t="shared" si="15"/>
        <v>0</v>
      </c>
      <c r="N33" s="676">
        <f t="shared" si="15"/>
        <v>0</v>
      </c>
      <c r="O33" s="676">
        <f t="shared" si="15"/>
        <v>0</v>
      </c>
      <c r="P33" s="676">
        <f t="shared" si="15"/>
        <v>0</v>
      </c>
      <c r="Q33" s="676">
        <f t="shared" si="15"/>
        <v>0</v>
      </c>
      <c r="R33" s="675" t="s">
        <v>1</v>
      </c>
      <c r="S33" s="675" t="s">
        <v>1</v>
      </c>
      <c r="T33" s="675" t="s">
        <v>1</v>
      </c>
      <c r="U33" s="676">
        <f>U15+U23+U31</f>
        <v>0</v>
      </c>
      <c r="V33" s="677" t="s">
        <v>1</v>
      </c>
      <c r="W33" s="677" t="s">
        <v>1</v>
      </c>
      <c r="X33" s="677">
        <f t="shared" si="15"/>
        <v>0</v>
      </c>
      <c r="Y33" s="676">
        <f>Y15+Y23+Y31</f>
        <v>0</v>
      </c>
      <c r="Z33" s="676">
        <f>Z15+Z23+Z31</f>
        <v>0</v>
      </c>
      <c r="AA33" s="676">
        <f>AA15+AA23+AA31</f>
        <v>0</v>
      </c>
      <c r="AB33" s="676">
        <f>AB15+AB23+AB31</f>
        <v>0</v>
      </c>
      <c r="AC33" s="676">
        <f t="shared" si="15"/>
        <v>0</v>
      </c>
      <c r="AD33" s="676">
        <f t="shared" si="15"/>
        <v>0</v>
      </c>
      <c r="AE33" s="676">
        <f t="shared" si="15"/>
        <v>0</v>
      </c>
      <c r="AF33" s="676">
        <f t="shared" si="15"/>
        <v>0</v>
      </c>
      <c r="AG33" s="676">
        <f t="shared" si="15"/>
        <v>0</v>
      </c>
      <c r="AH33" s="676">
        <f t="shared" si="15"/>
        <v>0</v>
      </c>
      <c r="AI33" s="676">
        <f t="shared" si="15"/>
        <v>0</v>
      </c>
      <c r="AJ33" s="676" t="s">
        <v>553</v>
      </c>
      <c r="AK33" s="676">
        <f>AK15+AK23+AK31</f>
        <v>0</v>
      </c>
      <c r="AL33" s="677" t="s">
        <v>1</v>
      </c>
      <c r="AM33" s="677" t="s">
        <v>1</v>
      </c>
      <c r="AN33" s="677">
        <f>AN15+AN23+AN31</f>
        <v>0</v>
      </c>
      <c r="AO33" s="676">
        <f aca="true" t="shared" si="16" ref="AO33:AU33">AO15+AO23+AO31</f>
        <v>0</v>
      </c>
      <c r="AP33" s="676">
        <f t="shared" si="16"/>
        <v>0</v>
      </c>
      <c r="AQ33" s="676">
        <f t="shared" si="16"/>
        <v>0</v>
      </c>
      <c r="AR33" s="676">
        <f t="shared" si="16"/>
        <v>0</v>
      </c>
      <c r="AS33" s="676">
        <f t="shared" si="16"/>
        <v>0</v>
      </c>
      <c r="AT33" s="676">
        <f t="shared" si="16"/>
        <v>0</v>
      </c>
      <c r="AU33" s="676">
        <f t="shared" si="16"/>
        <v>0</v>
      </c>
      <c r="AV33" s="677" t="s">
        <v>1</v>
      </c>
      <c r="AW33" s="677" t="s">
        <v>1</v>
      </c>
      <c r="AX33" s="677">
        <f>AX15+AX23+AX31</f>
        <v>0</v>
      </c>
      <c r="AY33" s="676"/>
      <c r="AZ33" s="676">
        <f>AZ15+AZ23+AZ31</f>
        <v>0</v>
      </c>
      <c r="BA33" s="676">
        <f>BA15+BA23+BA31</f>
        <v>0</v>
      </c>
      <c r="BB33" s="676">
        <f>BB15+BB23+BB31</f>
        <v>0</v>
      </c>
    </row>
    <row r="35" spans="1:8" s="5" customFormat="1" ht="13.5">
      <c r="A35" s="4"/>
      <c r="B35" s="5" t="s">
        <v>230</v>
      </c>
      <c r="H35" s="274"/>
    </row>
    <row r="36" spans="1:8" s="5" customFormat="1" ht="27.75" customHeight="1">
      <c r="A36" s="4"/>
      <c r="B36" s="191" t="s">
        <v>420</v>
      </c>
      <c r="C36" s="191"/>
      <c r="D36" s="324"/>
      <c r="E36" s="324"/>
      <c r="F36" s="324"/>
      <c r="G36" s="324"/>
      <c r="H36" s="274"/>
    </row>
    <row r="37" spans="1:8" s="5" customFormat="1" ht="29.25" customHeight="1">
      <c r="A37" s="4"/>
      <c r="B37" s="592" t="s">
        <v>437</v>
      </c>
      <c r="C37" s="324"/>
      <c r="D37" s="324"/>
      <c r="E37" s="324"/>
      <c r="F37" s="324"/>
      <c r="G37" s="324"/>
      <c r="H37" s="274"/>
    </row>
    <row r="40" spans="17:30" ht="13.5">
      <c r="Q40" s="190"/>
      <c r="R40" s="190"/>
      <c r="S40" s="190"/>
      <c r="T40" s="190"/>
      <c r="U40" s="190"/>
      <c r="AC40" s="190"/>
      <c r="AD40" s="190"/>
    </row>
    <row r="41" spans="17:30" ht="11.25" customHeight="1">
      <c r="Q41" s="190"/>
      <c r="R41" s="190"/>
      <c r="S41" s="190"/>
      <c r="T41" s="190"/>
      <c r="U41" s="190"/>
      <c r="AC41" s="190"/>
      <c r="AD41" s="190"/>
    </row>
    <row r="42" ht="11.25" customHeight="1"/>
  </sheetData>
  <sheetProtection/>
  <mergeCells count="5">
    <mergeCell ref="AS5:BB5"/>
    <mergeCell ref="C5:P5"/>
    <mergeCell ref="Q5:AB5"/>
    <mergeCell ref="AC5:AH5"/>
    <mergeCell ref="AI5:AR5"/>
  </mergeCells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A46"/>
  <sheetViews>
    <sheetView zoomScalePageLayoutView="0" workbookViewId="0" topLeftCell="A1">
      <selection activeCell="B15" sqref="B15"/>
    </sheetView>
  </sheetViews>
  <sheetFormatPr defaultColWidth="9.140625" defaultRowHeight="12.75"/>
  <cols>
    <col min="1" max="1" width="3.57421875" style="4" customWidth="1"/>
    <col min="2" max="2" width="27.28125" style="5" customWidth="1"/>
    <col min="3" max="3" width="9.140625" style="5" bestFit="1" customWidth="1"/>
    <col min="4" max="4" width="11.421875" style="5" customWidth="1"/>
    <col min="5" max="6" width="10.57421875" style="5" customWidth="1"/>
    <col min="7" max="7" width="11.421875" style="5" customWidth="1"/>
    <col min="8" max="8" width="11.8515625" style="5" customWidth="1"/>
    <col min="9" max="9" width="9.00390625" style="5" bestFit="1" customWidth="1"/>
    <col min="10" max="12" width="11.28125" style="5" customWidth="1"/>
    <col min="13" max="13" width="10.7109375" style="5" bestFit="1" customWidth="1"/>
    <col min="14" max="20" width="9.140625" style="5" customWidth="1"/>
    <col min="21" max="21" width="10.7109375" style="5" customWidth="1"/>
    <col min="22" max="24" width="9.140625" style="5" customWidth="1"/>
    <col min="25" max="25" width="10.421875" style="5" customWidth="1"/>
    <col min="26" max="16384" width="9.140625" style="5" customWidth="1"/>
  </cols>
  <sheetData>
    <row r="1" spans="1:27" ht="16.5">
      <c r="A1" s="32"/>
      <c r="B1" s="236" t="s">
        <v>218</v>
      </c>
      <c r="C1" s="33"/>
      <c r="D1" s="33"/>
      <c r="E1" s="33"/>
      <c r="F1" s="33"/>
      <c r="G1" s="33"/>
      <c r="H1" s="32"/>
      <c r="I1" s="33"/>
      <c r="J1" s="32"/>
      <c r="K1" s="137" t="s">
        <v>264</v>
      </c>
      <c r="L1" s="33"/>
      <c r="M1" s="33"/>
      <c r="N1" s="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</row>
    <row r="2" spans="1:27" ht="22.5" customHeight="1" thickBot="1">
      <c r="A2" s="32"/>
      <c r="B2" s="24"/>
      <c r="C2" s="187"/>
      <c r="D2" s="187"/>
      <c r="E2" s="187"/>
      <c r="F2" s="187"/>
      <c r="G2" s="187"/>
      <c r="H2" s="902"/>
      <c r="I2" s="902"/>
      <c r="K2" s="471" t="s">
        <v>27</v>
      </c>
      <c r="L2" s="152"/>
      <c r="M2" s="152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</row>
    <row r="3" spans="1:27" s="191" customFormat="1" ht="13.5">
      <c r="A3" s="32"/>
      <c r="B3" s="423" t="s">
        <v>28</v>
      </c>
      <c r="C3" s="138"/>
      <c r="D3" s="138"/>
      <c r="E3" s="138"/>
      <c r="F3" s="33"/>
      <c r="G3" s="33"/>
      <c r="H3" s="33"/>
      <c r="I3" s="36"/>
      <c r="J3" s="33"/>
      <c r="K3" s="33"/>
      <c r="L3" s="33"/>
      <c r="M3" s="36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0"/>
      <c r="Y3" s="190"/>
      <c r="Z3" s="190"/>
      <c r="AA3" s="190"/>
    </row>
    <row r="4" spans="1:27" s="191" customFormat="1" ht="22.5" customHeight="1">
      <c r="A4" s="32"/>
      <c r="B4" s="189"/>
      <c r="C4" s="138"/>
      <c r="D4" s="138"/>
      <c r="E4" s="138"/>
      <c r="F4" s="33"/>
      <c r="G4" s="189"/>
      <c r="H4" s="33"/>
      <c r="I4" s="43" t="s">
        <v>216</v>
      </c>
      <c r="J4" s="33"/>
      <c r="K4" s="33"/>
      <c r="L4" s="33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</row>
    <row r="5" spans="1:27" s="366" customFormat="1" ht="14.25">
      <c r="A5" s="282"/>
      <c r="B5" s="363"/>
      <c r="C5" s="364"/>
      <c r="D5" s="365"/>
      <c r="E5" s="365"/>
      <c r="F5" s="365"/>
      <c r="G5" s="367" t="s">
        <v>458</v>
      </c>
      <c r="H5" s="365"/>
      <c r="I5" s="365"/>
      <c r="J5" s="365"/>
      <c r="K5" s="364"/>
      <c r="L5" s="975" t="s">
        <v>451</v>
      </c>
      <c r="M5" s="975"/>
      <c r="N5" s="975"/>
      <c r="O5" s="976"/>
      <c r="P5" s="977" t="s">
        <v>217</v>
      </c>
      <c r="Q5" s="975"/>
      <c r="R5" s="975"/>
      <c r="S5" s="976"/>
      <c r="T5" s="977" t="s">
        <v>476</v>
      </c>
      <c r="U5" s="975"/>
      <c r="V5" s="975"/>
      <c r="W5" s="975"/>
      <c r="X5" s="977" t="s">
        <v>520</v>
      </c>
      <c r="Y5" s="975"/>
      <c r="Z5" s="975"/>
      <c r="AA5" s="976"/>
    </row>
    <row r="6" spans="1:27" s="191" customFormat="1" ht="93.75">
      <c r="A6" s="243" t="s">
        <v>111</v>
      </c>
      <c r="B6" s="66" t="s">
        <v>219</v>
      </c>
      <c r="C6" s="66" t="s">
        <v>220</v>
      </c>
      <c r="D6" s="66" t="s">
        <v>221</v>
      </c>
      <c r="E6" s="66" t="s">
        <v>222</v>
      </c>
      <c r="F6" s="562" t="s">
        <v>457</v>
      </c>
      <c r="G6" s="66" t="s">
        <v>212</v>
      </c>
      <c r="H6" s="325" t="s">
        <v>314</v>
      </c>
      <c r="I6" s="66" t="s">
        <v>224</v>
      </c>
      <c r="J6" s="66" t="s">
        <v>255</v>
      </c>
      <c r="K6" s="562" t="s">
        <v>456</v>
      </c>
      <c r="L6" s="66" t="s">
        <v>212</v>
      </c>
      <c r="M6" s="66" t="s">
        <v>284</v>
      </c>
      <c r="N6" s="66" t="s">
        <v>224</v>
      </c>
      <c r="O6" s="66" t="s">
        <v>255</v>
      </c>
      <c r="P6" s="66" t="s">
        <v>212</v>
      </c>
      <c r="Q6" s="66" t="s">
        <v>284</v>
      </c>
      <c r="R6" s="66" t="s">
        <v>224</v>
      </c>
      <c r="S6" s="66" t="s">
        <v>255</v>
      </c>
      <c r="T6" s="66" t="s">
        <v>212</v>
      </c>
      <c r="U6" s="66" t="s">
        <v>284</v>
      </c>
      <c r="V6" s="66" t="s">
        <v>224</v>
      </c>
      <c r="W6" s="66" t="s">
        <v>255</v>
      </c>
      <c r="X6" s="66" t="s">
        <v>212</v>
      </c>
      <c r="Y6" s="66" t="s">
        <v>284</v>
      </c>
      <c r="Z6" s="66" t="s">
        <v>224</v>
      </c>
      <c r="AA6" s="66" t="s">
        <v>255</v>
      </c>
    </row>
    <row r="7" spans="1:27" s="37" customFormat="1" ht="12.75">
      <c r="A7" s="127">
        <v>1</v>
      </c>
      <c r="B7" s="127">
        <v>2</v>
      </c>
      <c r="C7" s="127">
        <v>3</v>
      </c>
      <c r="D7" s="127">
        <v>4</v>
      </c>
      <c r="E7" s="127">
        <v>5</v>
      </c>
      <c r="F7" s="127">
        <v>6</v>
      </c>
      <c r="G7" s="127">
        <v>7</v>
      </c>
      <c r="H7" s="127">
        <v>8</v>
      </c>
      <c r="I7" s="127">
        <v>9</v>
      </c>
      <c r="J7" s="127">
        <v>10</v>
      </c>
      <c r="K7" s="127">
        <v>11</v>
      </c>
      <c r="L7" s="127">
        <v>12</v>
      </c>
      <c r="M7" s="127">
        <v>13</v>
      </c>
      <c r="N7" s="127">
        <v>14</v>
      </c>
      <c r="O7" s="127">
        <v>15</v>
      </c>
      <c r="P7" s="127">
        <v>16</v>
      </c>
      <c r="Q7" s="127">
        <v>17</v>
      </c>
      <c r="R7" s="127">
        <v>18</v>
      </c>
      <c r="S7" s="127">
        <v>19</v>
      </c>
      <c r="T7" s="127">
        <v>20</v>
      </c>
      <c r="U7" s="127">
        <v>21</v>
      </c>
      <c r="V7" s="127">
        <v>22</v>
      </c>
      <c r="W7" s="127">
        <v>23</v>
      </c>
      <c r="X7" s="127">
        <v>24</v>
      </c>
      <c r="Y7" s="127">
        <v>25</v>
      </c>
      <c r="Z7" s="127">
        <v>26</v>
      </c>
      <c r="AA7" s="127">
        <v>27</v>
      </c>
    </row>
    <row r="8" spans="1:27" ht="40.5">
      <c r="A8" s="244" t="s">
        <v>2</v>
      </c>
      <c r="B8" s="245" t="s">
        <v>431</v>
      </c>
      <c r="C8" s="246"/>
      <c r="D8" s="246"/>
      <c r="E8" s="246"/>
      <c r="F8" s="246"/>
      <c r="G8" s="207"/>
      <c r="H8" s="246"/>
      <c r="I8" s="246"/>
      <c r="J8" s="246"/>
      <c r="K8" s="246"/>
      <c r="L8" s="207"/>
      <c r="M8" s="246"/>
      <c r="N8" s="246"/>
      <c r="O8" s="207"/>
      <c r="P8" s="246"/>
      <c r="Q8" s="207"/>
      <c r="R8" s="109"/>
      <c r="S8" s="109"/>
      <c r="T8" s="109"/>
      <c r="U8" s="109"/>
      <c r="V8" s="109"/>
      <c r="W8" s="109"/>
      <c r="X8" s="109"/>
      <c r="Y8" s="109"/>
      <c r="Z8" s="109"/>
      <c r="AA8" s="109"/>
    </row>
    <row r="9" spans="1:27" ht="13.5">
      <c r="A9" s="232"/>
      <c r="B9" s="207" t="s">
        <v>123</v>
      </c>
      <c r="C9" s="246"/>
      <c r="D9" s="246"/>
      <c r="E9" s="246"/>
      <c r="F9" s="246"/>
      <c r="G9" s="207"/>
      <c r="H9" s="246"/>
      <c r="I9" s="246"/>
      <c r="J9" s="246"/>
      <c r="K9" s="246"/>
      <c r="L9" s="207"/>
      <c r="M9" s="246"/>
      <c r="N9" s="246"/>
      <c r="O9" s="207"/>
      <c r="P9" s="246"/>
      <c r="Q9" s="207"/>
      <c r="R9" s="109"/>
      <c r="S9" s="109"/>
      <c r="T9" s="109"/>
      <c r="U9" s="109"/>
      <c r="V9" s="109"/>
      <c r="W9" s="109"/>
      <c r="X9" s="109"/>
      <c r="Y9" s="109"/>
      <c r="Z9" s="109"/>
      <c r="AA9" s="109"/>
    </row>
    <row r="10" spans="1:27" ht="13.5">
      <c r="A10" s="232">
        <v>1</v>
      </c>
      <c r="B10" s="104"/>
      <c r="C10" s="232"/>
      <c r="D10" s="232"/>
      <c r="E10" s="232"/>
      <c r="F10" s="232"/>
      <c r="G10" s="104"/>
      <c r="H10" s="104"/>
      <c r="I10" s="104"/>
      <c r="J10" s="246">
        <f>H10+I10</f>
        <v>0</v>
      </c>
      <c r="K10" s="246"/>
      <c r="L10" s="104"/>
      <c r="M10" s="232"/>
      <c r="N10" s="232"/>
      <c r="O10" s="246">
        <f>M10+N10</f>
        <v>0</v>
      </c>
      <c r="P10" s="246">
        <f aca="true" t="shared" si="0" ref="P10:Q12">G10-L10</f>
        <v>0</v>
      </c>
      <c r="Q10" s="246">
        <f t="shared" si="0"/>
        <v>0</v>
      </c>
      <c r="R10" s="246">
        <f>I10-N10</f>
        <v>0</v>
      </c>
      <c r="S10" s="246">
        <f>Q10+R10</f>
        <v>0</v>
      </c>
      <c r="T10" s="104"/>
      <c r="U10" s="232"/>
      <c r="V10" s="232"/>
      <c r="W10" s="246">
        <f>U10+V10</f>
        <v>0</v>
      </c>
      <c r="X10" s="104"/>
      <c r="Y10" s="232"/>
      <c r="Z10" s="232"/>
      <c r="AA10" s="246">
        <f>Y10+Z10</f>
        <v>0</v>
      </c>
    </row>
    <row r="11" spans="1:27" ht="13.5">
      <c r="A11" s="232">
        <v>2</v>
      </c>
      <c r="B11" s="104"/>
      <c r="C11" s="232"/>
      <c r="D11" s="232"/>
      <c r="E11" s="232"/>
      <c r="F11" s="232"/>
      <c r="G11" s="104"/>
      <c r="H11" s="104"/>
      <c r="I11" s="104"/>
      <c r="J11" s="246">
        <f>H11+I11</f>
        <v>0</v>
      </c>
      <c r="K11" s="246"/>
      <c r="L11" s="104"/>
      <c r="M11" s="232"/>
      <c r="N11" s="232"/>
      <c r="O11" s="246">
        <f>M11+N11</f>
        <v>0</v>
      </c>
      <c r="P11" s="246">
        <f t="shared" si="0"/>
        <v>0</v>
      </c>
      <c r="Q11" s="246">
        <f t="shared" si="0"/>
        <v>0</v>
      </c>
      <c r="R11" s="246">
        <f>I11-N11</f>
        <v>0</v>
      </c>
      <c r="S11" s="246">
        <f>Q11+R11</f>
        <v>0</v>
      </c>
      <c r="T11" s="104"/>
      <c r="U11" s="232"/>
      <c r="V11" s="232"/>
      <c r="W11" s="246">
        <f>U11+V11</f>
        <v>0</v>
      </c>
      <c r="X11" s="104"/>
      <c r="Y11" s="232"/>
      <c r="Z11" s="232"/>
      <c r="AA11" s="246">
        <f>Y11+Z11</f>
        <v>0</v>
      </c>
    </row>
    <row r="12" spans="1:27" ht="13.5">
      <c r="A12" s="232">
        <v>3</v>
      </c>
      <c r="B12" s="247"/>
      <c r="C12" s="232"/>
      <c r="D12" s="232"/>
      <c r="E12" s="232"/>
      <c r="F12" s="232"/>
      <c r="G12" s="104"/>
      <c r="H12" s="104"/>
      <c r="I12" s="104"/>
      <c r="J12" s="246">
        <f>H12+I12</f>
        <v>0</v>
      </c>
      <c r="K12" s="246"/>
      <c r="L12" s="104"/>
      <c r="M12" s="232"/>
      <c r="N12" s="232"/>
      <c r="O12" s="246">
        <f>M12+N12</f>
        <v>0</v>
      </c>
      <c r="P12" s="246">
        <f t="shared" si="0"/>
        <v>0</v>
      </c>
      <c r="Q12" s="246">
        <f t="shared" si="0"/>
        <v>0</v>
      </c>
      <c r="R12" s="246">
        <f>I12-N12</f>
        <v>0</v>
      </c>
      <c r="S12" s="246">
        <f>Q12+R12</f>
        <v>0</v>
      </c>
      <c r="T12" s="104"/>
      <c r="U12" s="232"/>
      <c r="V12" s="232"/>
      <c r="W12" s="246">
        <f>U12+V12</f>
        <v>0</v>
      </c>
      <c r="X12" s="104"/>
      <c r="Y12" s="232"/>
      <c r="Z12" s="232"/>
      <c r="AA12" s="246">
        <f>Y12+Z12</f>
        <v>0</v>
      </c>
    </row>
    <row r="13" spans="1:27" s="249" customFormat="1" ht="14.25">
      <c r="A13" s="244"/>
      <c r="B13" s="252" t="s">
        <v>263</v>
      </c>
      <c r="C13" s="248" t="s">
        <v>1</v>
      </c>
      <c r="D13" s="248" t="s">
        <v>1</v>
      </c>
      <c r="E13" s="248" t="s">
        <v>1</v>
      </c>
      <c r="F13" s="248" t="s">
        <v>1</v>
      </c>
      <c r="G13" s="248">
        <f aca="true" t="shared" si="1" ref="G13:AA13">SUM(G10:G12)</f>
        <v>0</v>
      </c>
      <c r="H13" s="248">
        <f t="shared" si="1"/>
        <v>0</v>
      </c>
      <c r="I13" s="248">
        <f t="shared" si="1"/>
        <v>0</v>
      </c>
      <c r="J13" s="248">
        <f t="shared" si="1"/>
        <v>0</v>
      </c>
      <c r="K13" s="248" t="s">
        <v>1</v>
      </c>
      <c r="L13" s="248">
        <f t="shared" si="1"/>
        <v>0</v>
      </c>
      <c r="M13" s="248">
        <f t="shared" si="1"/>
        <v>0</v>
      </c>
      <c r="N13" s="248">
        <f t="shared" si="1"/>
        <v>0</v>
      </c>
      <c r="O13" s="248">
        <f t="shared" si="1"/>
        <v>0</v>
      </c>
      <c r="P13" s="248">
        <f t="shared" si="1"/>
        <v>0</v>
      </c>
      <c r="Q13" s="248">
        <f t="shared" si="1"/>
        <v>0</v>
      </c>
      <c r="R13" s="248">
        <f t="shared" si="1"/>
        <v>0</v>
      </c>
      <c r="S13" s="248">
        <f t="shared" si="1"/>
        <v>0</v>
      </c>
      <c r="T13" s="248">
        <f t="shared" si="1"/>
        <v>0</v>
      </c>
      <c r="U13" s="248">
        <f t="shared" si="1"/>
        <v>0</v>
      </c>
      <c r="V13" s="248">
        <f t="shared" si="1"/>
        <v>0</v>
      </c>
      <c r="W13" s="248">
        <f t="shared" si="1"/>
        <v>0</v>
      </c>
      <c r="X13" s="248">
        <f t="shared" si="1"/>
        <v>0</v>
      </c>
      <c r="Y13" s="248">
        <f t="shared" si="1"/>
        <v>0</v>
      </c>
      <c r="Z13" s="248">
        <f t="shared" si="1"/>
        <v>0</v>
      </c>
      <c r="AA13" s="248">
        <f t="shared" si="1"/>
        <v>0</v>
      </c>
    </row>
    <row r="14" spans="1:27" ht="13.5">
      <c r="A14" s="232"/>
      <c r="B14" s="207"/>
      <c r="C14" s="246"/>
      <c r="D14" s="246"/>
      <c r="E14" s="246"/>
      <c r="F14" s="246"/>
      <c r="G14" s="207"/>
      <c r="H14" s="246"/>
      <c r="I14" s="246"/>
      <c r="J14" s="246"/>
      <c r="K14" s="246"/>
      <c r="L14" s="207"/>
      <c r="M14" s="246"/>
      <c r="N14" s="246"/>
      <c r="O14" s="207"/>
      <c r="P14" s="246"/>
      <c r="Q14" s="207"/>
      <c r="R14" s="109"/>
      <c r="S14" s="109"/>
      <c r="T14" s="109"/>
      <c r="U14" s="109"/>
      <c r="V14" s="109"/>
      <c r="W14" s="109"/>
      <c r="X14" s="109"/>
      <c r="Y14" s="109"/>
      <c r="Z14" s="109"/>
      <c r="AA14" s="109"/>
    </row>
    <row r="15" spans="1:27" ht="40.5">
      <c r="A15" s="244" t="s">
        <v>3</v>
      </c>
      <c r="B15" s="245" t="s">
        <v>556</v>
      </c>
      <c r="C15" s="246"/>
      <c r="D15" s="246"/>
      <c r="E15" s="246"/>
      <c r="F15" s="246"/>
      <c r="G15" s="245"/>
      <c r="H15" s="246"/>
      <c r="I15" s="246"/>
      <c r="J15" s="246"/>
      <c r="K15" s="246"/>
      <c r="L15" s="245"/>
      <c r="M15" s="246"/>
      <c r="N15" s="246"/>
      <c r="O15" s="245"/>
      <c r="P15" s="246"/>
      <c r="Q15" s="245"/>
      <c r="R15" s="109"/>
      <c r="S15" s="109"/>
      <c r="T15" s="109"/>
      <c r="U15" s="109"/>
      <c r="V15" s="109"/>
      <c r="W15" s="109"/>
      <c r="X15" s="109"/>
      <c r="Y15" s="109"/>
      <c r="Z15" s="109"/>
      <c r="AA15" s="109"/>
    </row>
    <row r="16" spans="1:27" ht="13.5">
      <c r="A16" s="232"/>
      <c r="B16" s="207" t="s">
        <v>123</v>
      </c>
      <c r="C16" s="246"/>
      <c r="D16" s="246"/>
      <c r="E16" s="246"/>
      <c r="F16" s="246"/>
      <c r="G16" s="207"/>
      <c r="H16" s="246"/>
      <c r="I16" s="246"/>
      <c r="J16" s="246"/>
      <c r="K16" s="246"/>
      <c r="L16" s="207"/>
      <c r="M16" s="246"/>
      <c r="N16" s="246"/>
      <c r="O16" s="207"/>
      <c r="P16" s="246"/>
      <c r="Q16" s="207"/>
      <c r="R16" s="109"/>
      <c r="S16" s="109"/>
      <c r="T16" s="109"/>
      <c r="U16" s="109"/>
      <c r="V16" s="109"/>
      <c r="W16" s="109"/>
      <c r="X16" s="109"/>
      <c r="Y16" s="109"/>
      <c r="Z16" s="109"/>
      <c r="AA16" s="109"/>
    </row>
    <row r="17" spans="1:27" ht="13.5">
      <c r="A17" s="232"/>
      <c r="B17" s="207" t="s">
        <v>226</v>
      </c>
      <c r="C17" s="246"/>
      <c r="D17" s="246"/>
      <c r="E17" s="246"/>
      <c r="F17" s="246"/>
      <c r="G17" s="207"/>
      <c r="H17" s="207"/>
      <c r="I17" s="207"/>
      <c r="J17" s="207"/>
      <c r="K17" s="207"/>
      <c r="L17" s="207"/>
      <c r="M17" s="207"/>
      <c r="N17" s="207"/>
      <c r="O17" s="207"/>
      <c r="P17" s="207"/>
      <c r="Q17" s="207"/>
      <c r="R17" s="109"/>
      <c r="S17" s="109"/>
      <c r="T17" s="109"/>
      <c r="U17" s="109"/>
      <c r="V17" s="109"/>
      <c r="W17" s="109"/>
      <c r="X17" s="109"/>
      <c r="Y17" s="109"/>
      <c r="Z17" s="109"/>
      <c r="AA17" s="109"/>
    </row>
    <row r="18" spans="1:27" ht="13.5">
      <c r="A18" s="232"/>
      <c r="B18" s="207" t="s">
        <v>227</v>
      </c>
      <c r="C18" s="246"/>
      <c r="D18" s="246"/>
      <c r="E18" s="246"/>
      <c r="F18" s="246"/>
      <c r="G18" s="207"/>
      <c r="H18" s="207"/>
      <c r="I18" s="207"/>
      <c r="J18" s="207"/>
      <c r="K18" s="207"/>
      <c r="L18" s="207"/>
      <c r="M18" s="207"/>
      <c r="N18" s="207"/>
      <c r="O18" s="207"/>
      <c r="P18" s="207"/>
      <c r="Q18" s="207"/>
      <c r="R18" s="109"/>
      <c r="S18" s="109"/>
      <c r="T18" s="109"/>
      <c r="U18" s="109"/>
      <c r="V18" s="109"/>
      <c r="W18" s="109"/>
      <c r="X18" s="109"/>
      <c r="Y18" s="109"/>
      <c r="Z18" s="109"/>
      <c r="AA18" s="109"/>
    </row>
    <row r="19" spans="1:27" ht="13.5">
      <c r="A19" s="232">
        <v>1</v>
      </c>
      <c r="B19" s="104"/>
      <c r="C19" s="232"/>
      <c r="D19" s="232"/>
      <c r="E19" s="232"/>
      <c r="F19" s="232"/>
      <c r="G19" s="104"/>
      <c r="H19" s="104"/>
      <c r="I19" s="104"/>
      <c r="J19" s="246">
        <f>H19+I19</f>
        <v>0</v>
      </c>
      <c r="K19" s="246"/>
      <c r="L19" s="104"/>
      <c r="M19" s="232"/>
      <c r="N19" s="232"/>
      <c r="O19" s="246">
        <f>M19+N19</f>
        <v>0</v>
      </c>
      <c r="P19" s="246">
        <f aca="true" t="shared" si="2" ref="P19:R21">G19-L19</f>
        <v>0</v>
      </c>
      <c r="Q19" s="246">
        <f t="shared" si="2"/>
        <v>0</v>
      </c>
      <c r="R19" s="246">
        <f t="shared" si="2"/>
        <v>0</v>
      </c>
      <c r="S19" s="246">
        <f>Q19+R19</f>
        <v>0</v>
      </c>
      <c r="T19" s="104"/>
      <c r="U19" s="232"/>
      <c r="V19" s="232"/>
      <c r="W19" s="246">
        <f>U19+V19</f>
        <v>0</v>
      </c>
      <c r="X19" s="104"/>
      <c r="Y19" s="232"/>
      <c r="Z19" s="232"/>
      <c r="AA19" s="246">
        <f>Y19+Z19</f>
        <v>0</v>
      </c>
    </row>
    <row r="20" spans="1:27" ht="13.5">
      <c r="A20" s="232">
        <v>2</v>
      </c>
      <c r="B20" s="104"/>
      <c r="C20" s="232"/>
      <c r="D20" s="232"/>
      <c r="E20" s="232"/>
      <c r="F20" s="232"/>
      <c r="G20" s="104"/>
      <c r="H20" s="104"/>
      <c r="I20" s="104"/>
      <c r="J20" s="246">
        <f>H20+I20</f>
        <v>0</v>
      </c>
      <c r="K20" s="246"/>
      <c r="L20" s="104"/>
      <c r="M20" s="232"/>
      <c r="N20" s="232"/>
      <c r="O20" s="246">
        <f>M20+N20</f>
        <v>0</v>
      </c>
      <c r="P20" s="246">
        <f t="shared" si="2"/>
        <v>0</v>
      </c>
      <c r="Q20" s="246">
        <f t="shared" si="2"/>
        <v>0</v>
      </c>
      <c r="R20" s="246">
        <f t="shared" si="2"/>
        <v>0</v>
      </c>
      <c r="S20" s="246">
        <f>Q20+R20</f>
        <v>0</v>
      </c>
      <c r="T20" s="104"/>
      <c r="U20" s="232"/>
      <c r="V20" s="232"/>
      <c r="W20" s="246">
        <f>U20+V20</f>
        <v>0</v>
      </c>
      <c r="X20" s="104"/>
      <c r="Y20" s="232"/>
      <c r="Z20" s="232"/>
      <c r="AA20" s="246">
        <f>Y20+Z20</f>
        <v>0</v>
      </c>
    </row>
    <row r="21" spans="1:27" ht="13.5">
      <c r="A21" s="232">
        <v>3</v>
      </c>
      <c r="B21" s="247"/>
      <c r="C21" s="232"/>
      <c r="D21" s="232"/>
      <c r="E21" s="232"/>
      <c r="F21" s="232"/>
      <c r="G21" s="104"/>
      <c r="H21" s="104"/>
      <c r="I21" s="104"/>
      <c r="J21" s="246">
        <f>H21+I21</f>
        <v>0</v>
      </c>
      <c r="K21" s="246"/>
      <c r="L21" s="104"/>
      <c r="M21" s="232"/>
      <c r="N21" s="232"/>
      <c r="O21" s="246">
        <f>M21+N21</f>
        <v>0</v>
      </c>
      <c r="P21" s="246">
        <f t="shared" si="2"/>
        <v>0</v>
      </c>
      <c r="Q21" s="246">
        <f t="shared" si="2"/>
        <v>0</v>
      </c>
      <c r="R21" s="246">
        <f t="shared" si="2"/>
        <v>0</v>
      </c>
      <c r="S21" s="246">
        <f>Q21+R21</f>
        <v>0</v>
      </c>
      <c r="T21" s="104"/>
      <c r="U21" s="232"/>
      <c r="V21" s="232"/>
      <c r="W21" s="246">
        <f>U21+V21</f>
        <v>0</v>
      </c>
      <c r="X21" s="104"/>
      <c r="Y21" s="232"/>
      <c r="Z21" s="232"/>
      <c r="AA21" s="246">
        <f>Y21+Z21</f>
        <v>0</v>
      </c>
    </row>
    <row r="22" spans="1:27" s="249" customFormat="1" ht="27">
      <c r="A22" s="244"/>
      <c r="B22" s="252" t="s">
        <v>228</v>
      </c>
      <c r="C22" s="248" t="s">
        <v>1</v>
      </c>
      <c r="D22" s="248" t="s">
        <v>1</v>
      </c>
      <c r="E22" s="248" t="s">
        <v>1</v>
      </c>
      <c r="F22" s="248" t="s">
        <v>1</v>
      </c>
      <c r="G22" s="248">
        <f>SUM(G19:G21)</f>
        <v>0</v>
      </c>
      <c r="H22" s="248">
        <f aca="true" t="shared" si="3" ref="H22:N22">SUM(H19:H21)</f>
        <v>0</v>
      </c>
      <c r="I22" s="248">
        <f t="shared" si="3"/>
        <v>0</v>
      </c>
      <c r="J22" s="248">
        <f t="shared" si="3"/>
        <v>0</v>
      </c>
      <c r="K22" s="248" t="s">
        <v>1</v>
      </c>
      <c r="L22" s="248">
        <f t="shared" si="3"/>
        <v>0</v>
      </c>
      <c r="M22" s="248">
        <f t="shared" si="3"/>
        <v>0</v>
      </c>
      <c r="N22" s="248">
        <f t="shared" si="3"/>
        <v>0</v>
      </c>
      <c r="O22" s="248">
        <f>SUM(O19:O21)</f>
        <v>0</v>
      </c>
      <c r="P22" s="248">
        <f>SUM(P19:P21)</f>
        <v>0</v>
      </c>
      <c r="Q22" s="248">
        <f>SUM(Q19:Q21)</f>
        <v>0</v>
      </c>
      <c r="R22" s="248">
        <f>SUM(R19:R21)</f>
        <v>0</v>
      </c>
      <c r="S22" s="248">
        <f>SUM(S19:S21)</f>
        <v>0</v>
      </c>
      <c r="T22" s="248">
        <f aca="true" t="shared" si="4" ref="T22:AA22">SUM(T19:T21)</f>
        <v>0</v>
      </c>
      <c r="U22" s="248">
        <f t="shared" si="4"/>
        <v>0</v>
      </c>
      <c r="V22" s="248">
        <f t="shared" si="4"/>
        <v>0</v>
      </c>
      <c r="W22" s="248">
        <f t="shared" si="4"/>
        <v>0</v>
      </c>
      <c r="X22" s="248">
        <f t="shared" si="4"/>
        <v>0</v>
      </c>
      <c r="Y22" s="248">
        <f t="shared" si="4"/>
        <v>0</v>
      </c>
      <c r="Z22" s="248">
        <f t="shared" si="4"/>
        <v>0</v>
      </c>
      <c r="AA22" s="248">
        <f t="shared" si="4"/>
        <v>0</v>
      </c>
    </row>
    <row r="23" spans="1:27" ht="13.5">
      <c r="A23" s="232"/>
      <c r="B23" s="207" t="s">
        <v>227</v>
      </c>
      <c r="C23" s="246"/>
      <c r="D23" s="246"/>
      <c r="E23" s="246"/>
      <c r="F23" s="246"/>
      <c r="G23" s="207"/>
      <c r="H23" s="207"/>
      <c r="I23" s="207"/>
      <c r="J23" s="207"/>
      <c r="K23" s="207"/>
      <c r="L23" s="207"/>
      <c r="M23" s="207"/>
      <c r="N23" s="207"/>
      <c r="O23" s="207"/>
      <c r="P23" s="207"/>
      <c r="Q23" s="207"/>
      <c r="R23" s="109"/>
      <c r="S23" s="109"/>
      <c r="T23" s="109"/>
      <c r="U23" s="109"/>
      <c r="V23" s="109"/>
      <c r="W23" s="109"/>
      <c r="X23" s="109"/>
      <c r="Y23" s="109"/>
      <c r="Z23" s="109"/>
      <c r="AA23" s="109"/>
    </row>
    <row r="24" spans="1:27" ht="13.5">
      <c r="A24" s="232">
        <v>1</v>
      </c>
      <c r="B24" s="104"/>
      <c r="C24" s="232"/>
      <c r="D24" s="232"/>
      <c r="E24" s="232"/>
      <c r="F24" s="232"/>
      <c r="G24" s="104"/>
      <c r="H24" s="104"/>
      <c r="I24" s="104"/>
      <c r="J24" s="246">
        <f>H24+I24</f>
        <v>0</v>
      </c>
      <c r="K24" s="246"/>
      <c r="L24" s="104"/>
      <c r="M24" s="232"/>
      <c r="N24" s="232"/>
      <c r="O24" s="246">
        <f>M24+N24</f>
        <v>0</v>
      </c>
      <c r="P24" s="246">
        <f aca="true" t="shared" si="5" ref="P24:R26">G24-L24</f>
        <v>0</v>
      </c>
      <c r="Q24" s="246">
        <f t="shared" si="5"/>
        <v>0</v>
      </c>
      <c r="R24" s="246">
        <f t="shared" si="5"/>
        <v>0</v>
      </c>
      <c r="S24" s="246">
        <f>Q24+R24</f>
        <v>0</v>
      </c>
      <c r="T24" s="104"/>
      <c r="U24" s="232"/>
      <c r="V24" s="232"/>
      <c r="W24" s="246">
        <f>U24+V24</f>
        <v>0</v>
      </c>
      <c r="X24" s="104"/>
      <c r="Y24" s="232"/>
      <c r="Z24" s="232"/>
      <c r="AA24" s="246">
        <f>Y24+Z24</f>
        <v>0</v>
      </c>
    </row>
    <row r="25" spans="1:27" ht="13.5">
      <c r="A25" s="232">
        <v>2</v>
      </c>
      <c r="B25" s="104"/>
      <c r="C25" s="232"/>
      <c r="D25" s="232"/>
      <c r="E25" s="232"/>
      <c r="F25" s="232"/>
      <c r="G25" s="104"/>
      <c r="H25" s="104"/>
      <c r="I25" s="104"/>
      <c r="J25" s="246">
        <f>H25+I25</f>
        <v>0</v>
      </c>
      <c r="K25" s="246"/>
      <c r="L25" s="104"/>
      <c r="M25" s="232"/>
      <c r="N25" s="232"/>
      <c r="O25" s="246">
        <f>M25+N25</f>
        <v>0</v>
      </c>
      <c r="P25" s="246">
        <f t="shared" si="5"/>
        <v>0</v>
      </c>
      <c r="Q25" s="246">
        <f t="shared" si="5"/>
        <v>0</v>
      </c>
      <c r="R25" s="246">
        <f t="shared" si="5"/>
        <v>0</v>
      </c>
      <c r="S25" s="246">
        <f>Q25+R25</f>
        <v>0</v>
      </c>
      <c r="T25" s="104"/>
      <c r="U25" s="232"/>
      <c r="V25" s="232"/>
      <c r="W25" s="246">
        <f>U25+V25</f>
        <v>0</v>
      </c>
      <c r="X25" s="104"/>
      <c r="Y25" s="232"/>
      <c r="Z25" s="232"/>
      <c r="AA25" s="246">
        <f>Y25+Z25</f>
        <v>0</v>
      </c>
    </row>
    <row r="26" spans="1:27" ht="13.5">
      <c r="A26" s="232">
        <v>3</v>
      </c>
      <c r="B26" s="247"/>
      <c r="C26" s="232"/>
      <c r="D26" s="232"/>
      <c r="E26" s="232"/>
      <c r="F26" s="232"/>
      <c r="G26" s="104"/>
      <c r="H26" s="104"/>
      <c r="I26" s="104"/>
      <c r="J26" s="246">
        <f>H26+I26</f>
        <v>0</v>
      </c>
      <c r="K26" s="246"/>
      <c r="L26" s="104"/>
      <c r="M26" s="232"/>
      <c r="N26" s="232"/>
      <c r="O26" s="246">
        <f>M26+N26</f>
        <v>0</v>
      </c>
      <c r="P26" s="246">
        <f t="shared" si="5"/>
        <v>0</v>
      </c>
      <c r="Q26" s="246">
        <f t="shared" si="5"/>
        <v>0</v>
      </c>
      <c r="R26" s="246">
        <f t="shared" si="5"/>
        <v>0</v>
      </c>
      <c r="S26" s="246">
        <f>Q26+R26</f>
        <v>0</v>
      </c>
      <c r="T26" s="104"/>
      <c r="U26" s="232"/>
      <c r="V26" s="232"/>
      <c r="W26" s="246">
        <f>U26+V26</f>
        <v>0</v>
      </c>
      <c r="X26" s="104"/>
      <c r="Y26" s="232"/>
      <c r="Z26" s="232"/>
      <c r="AA26" s="246">
        <f>Y26+Z26</f>
        <v>0</v>
      </c>
    </row>
    <row r="27" spans="1:27" s="249" customFormat="1" ht="27">
      <c r="A27" s="244"/>
      <c r="B27" s="252" t="s">
        <v>228</v>
      </c>
      <c r="C27" s="248" t="s">
        <v>1</v>
      </c>
      <c r="D27" s="248" t="s">
        <v>1</v>
      </c>
      <c r="E27" s="248" t="s">
        <v>1</v>
      </c>
      <c r="F27" s="248" t="s">
        <v>1</v>
      </c>
      <c r="G27" s="248">
        <f aca="true" t="shared" si="6" ref="G27:N27">SUM(G24:G26)</f>
        <v>0</v>
      </c>
      <c r="H27" s="248">
        <f t="shared" si="6"/>
        <v>0</v>
      </c>
      <c r="I27" s="248">
        <f t="shared" si="6"/>
        <v>0</v>
      </c>
      <c r="J27" s="248">
        <f t="shared" si="6"/>
        <v>0</v>
      </c>
      <c r="K27" s="248" t="s">
        <v>1</v>
      </c>
      <c r="L27" s="248">
        <f t="shared" si="6"/>
        <v>0</v>
      </c>
      <c r="M27" s="248">
        <f t="shared" si="6"/>
        <v>0</v>
      </c>
      <c r="N27" s="248">
        <f t="shared" si="6"/>
        <v>0</v>
      </c>
      <c r="O27" s="248">
        <f>SUM(O24:O26)</f>
        <v>0</v>
      </c>
      <c r="P27" s="248">
        <f>SUM(P24:P26)</f>
        <v>0</v>
      </c>
      <c r="Q27" s="248">
        <f>SUM(Q24:Q26)</f>
        <v>0</v>
      </c>
      <c r="R27" s="248">
        <f>SUM(R24:R26)</f>
        <v>0</v>
      </c>
      <c r="S27" s="248">
        <f>SUM(S24:S26)</f>
        <v>0</v>
      </c>
      <c r="T27" s="248">
        <f aca="true" t="shared" si="7" ref="T27:AA27">SUM(T24:T26)</f>
        <v>0</v>
      </c>
      <c r="U27" s="248">
        <f t="shared" si="7"/>
        <v>0</v>
      </c>
      <c r="V27" s="248">
        <f t="shared" si="7"/>
        <v>0</v>
      </c>
      <c r="W27" s="248">
        <f t="shared" si="7"/>
        <v>0</v>
      </c>
      <c r="X27" s="248">
        <f t="shared" si="7"/>
        <v>0</v>
      </c>
      <c r="Y27" s="248">
        <f t="shared" si="7"/>
        <v>0</v>
      </c>
      <c r="Z27" s="248">
        <f t="shared" si="7"/>
        <v>0</v>
      </c>
      <c r="AA27" s="248">
        <f t="shared" si="7"/>
        <v>0</v>
      </c>
    </row>
    <row r="28" spans="1:27" s="249" customFormat="1" ht="27">
      <c r="A28" s="244"/>
      <c r="B28" s="252" t="s">
        <v>260</v>
      </c>
      <c r="C28" s="248" t="s">
        <v>1</v>
      </c>
      <c r="D28" s="248" t="s">
        <v>1</v>
      </c>
      <c r="E28" s="248" t="s">
        <v>1</v>
      </c>
      <c r="F28" s="248" t="s">
        <v>1</v>
      </c>
      <c r="G28" s="248">
        <f>G22+G27</f>
        <v>0</v>
      </c>
      <c r="H28" s="248">
        <f aca="true" t="shared" si="8" ref="H28:N28">H22+H27</f>
        <v>0</v>
      </c>
      <c r="I28" s="248">
        <f t="shared" si="8"/>
        <v>0</v>
      </c>
      <c r="J28" s="248">
        <f t="shared" si="8"/>
        <v>0</v>
      </c>
      <c r="K28" s="248" t="s">
        <v>1</v>
      </c>
      <c r="L28" s="248">
        <f t="shared" si="8"/>
        <v>0</v>
      </c>
      <c r="M28" s="248">
        <f t="shared" si="8"/>
        <v>0</v>
      </c>
      <c r="N28" s="248">
        <f t="shared" si="8"/>
        <v>0</v>
      </c>
      <c r="O28" s="248">
        <f>O22+O27</f>
        <v>0</v>
      </c>
      <c r="P28" s="248">
        <f>P22+P27</f>
        <v>0</v>
      </c>
      <c r="Q28" s="248">
        <f>Q22+Q27</f>
        <v>0</v>
      </c>
      <c r="R28" s="248">
        <f>R22+R27</f>
        <v>0</v>
      </c>
      <c r="S28" s="248">
        <f>S22+S27</f>
        <v>0</v>
      </c>
      <c r="T28" s="248">
        <f aca="true" t="shared" si="9" ref="T28:AA28">T22+T27</f>
        <v>0</v>
      </c>
      <c r="U28" s="248">
        <f t="shared" si="9"/>
        <v>0</v>
      </c>
      <c r="V28" s="248">
        <f t="shared" si="9"/>
        <v>0</v>
      </c>
      <c r="W28" s="248">
        <f t="shared" si="9"/>
        <v>0</v>
      </c>
      <c r="X28" s="248">
        <f t="shared" si="9"/>
        <v>0</v>
      </c>
      <c r="Y28" s="248">
        <f t="shared" si="9"/>
        <v>0</v>
      </c>
      <c r="Z28" s="248">
        <f t="shared" si="9"/>
        <v>0</v>
      </c>
      <c r="AA28" s="248">
        <f t="shared" si="9"/>
        <v>0</v>
      </c>
    </row>
    <row r="29" spans="1:27" ht="13.5">
      <c r="A29" s="232"/>
      <c r="B29" s="247"/>
      <c r="C29" s="246"/>
      <c r="D29" s="246"/>
      <c r="E29" s="246"/>
      <c r="F29" s="246"/>
      <c r="G29" s="247"/>
      <c r="H29" s="246"/>
      <c r="I29" s="246"/>
      <c r="J29" s="246"/>
      <c r="K29" s="246"/>
      <c r="L29" s="247"/>
      <c r="M29" s="246"/>
      <c r="N29" s="246"/>
      <c r="O29" s="247"/>
      <c r="P29" s="246"/>
      <c r="Q29" s="247"/>
      <c r="R29" s="109"/>
      <c r="S29" s="109"/>
      <c r="T29" s="109"/>
      <c r="U29" s="109"/>
      <c r="V29" s="109"/>
      <c r="W29" s="109"/>
      <c r="X29" s="109"/>
      <c r="Y29" s="109"/>
      <c r="Z29" s="109"/>
      <c r="AA29" s="109"/>
    </row>
    <row r="30" spans="1:27" ht="13.5">
      <c r="A30" s="232"/>
      <c r="B30" s="104"/>
      <c r="C30" s="246"/>
      <c r="D30" s="246"/>
      <c r="E30" s="246"/>
      <c r="F30" s="246"/>
      <c r="G30" s="104"/>
      <c r="H30" s="246"/>
      <c r="I30" s="246"/>
      <c r="J30" s="246"/>
      <c r="K30" s="246"/>
      <c r="L30" s="104"/>
      <c r="M30" s="246"/>
      <c r="N30" s="246"/>
      <c r="O30" s="104"/>
      <c r="P30" s="246"/>
      <c r="Q30" s="104"/>
      <c r="R30" s="109"/>
      <c r="S30" s="109"/>
      <c r="T30" s="109"/>
      <c r="U30" s="109"/>
      <c r="V30" s="109"/>
      <c r="W30" s="109"/>
      <c r="X30" s="109"/>
      <c r="Y30" s="109"/>
      <c r="Z30" s="109"/>
      <c r="AA30" s="109"/>
    </row>
    <row r="31" spans="1:27" ht="54">
      <c r="A31" s="244" t="s">
        <v>4</v>
      </c>
      <c r="B31" s="245" t="s">
        <v>421</v>
      </c>
      <c r="C31" s="246"/>
      <c r="D31" s="246"/>
      <c r="E31" s="246"/>
      <c r="F31" s="246"/>
      <c r="G31" s="245"/>
      <c r="H31" s="246"/>
      <c r="I31" s="246"/>
      <c r="J31" s="246"/>
      <c r="K31" s="246"/>
      <c r="L31" s="245"/>
      <c r="M31" s="246"/>
      <c r="N31" s="246"/>
      <c r="O31" s="245"/>
      <c r="P31" s="246"/>
      <c r="Q31" s="245"/>
      <c r="R31" s="109"/>
      <c r="S31" s="109"/>
      <c r="T31" s="109"/>
      <c r="U31" s="109"/>
      <c r="V31" s="109"/>
      <c r="W31" s="109"/>
      <c r="X31" s="109"/>
      <c r="Y31" s="109"/>
      <c r="Z31" s="109"/>
      <c r="AA31" s="109"/>
    </row>
    <row r="32" spans="1:27" ht="13.5">
      <c r="A32" s="232"/>
      <c r="B32" s="207" t="s">
        <v>123</v>
      </c>
      <c r="C32" s="246"/>
      <c r="D32" s="246"/>
      <c r="E32" s="246"/>
      <c r="F32" s="246"/>
      <c r="G32" s="207"/>
      <c r="H32" s="246"/>
      <c r="I32" s="246"/>
      <c r="J32" s="246"/>
      <c r="K32" s="246"/>
      <c r="L32" s="207"/>
      <c r="M32" s="246"/>
      <c r="N32" s="246"/>
      <c r="O32" s="207"/>
      <c r="P32" s="246"/>
      <c r="Q32" s="207"/>
      <c r="R32" s="109"/>
      <c r="S32" s="109"/>
      <c r="T32" s="109"/>
      <c r="U32" s="109"/>
      <c r="V32" s="109"/>
      <c r="W32" s="109"/>
      <c r="X32" s="109"/>
      <c r="Y32" s="109"/>
      <c r="Z32" s="109"/>
      <c r="AA32" s="109"/>
    </row>
    <row r="33" spans="1:27" ht="13.5">
      <c r="A33" s="232">
        <v>1</v>
      </c>
      <c r="B33" s="104"/>
      <c r="C33" s="246"/>
      <c r="D33" s="246" t="s">
        <v>1</v>
      </c>
      <c r="E33" s="246" t="s">
        <v>1</v>
      </c>
      <c r="F33" s="246"/>
      <c r="G33" s="104"/>
      <c r="H33" s="232"/>
      <c r="I33" s="232"/>
      <c r="J33" s="246">
        <f>H33+I33</f>
        <v>0</v>
      </c>
      <c r="K33" s="246"/>
      <c r="L33" s="104"/>
      <c r="M33" s="232"/>
      <c r="N33" s="232"/>
      <c r="O33" s="246">
        <f>M33+N33</f>
        <v>0</v>
      </c>
      <c r="P33" s="246">
        <f aca="true" t="shared" si="10" ref="P33:R35">G33-L33</f>
        <v>0</v>
      </c>
      <c r="Q33" s="246">
        <f t="shared" si="10"/>
        <v>0</v>
      </c>
      <c r="R33" s="246">
        <f t="shared" si="10"/>
        <v>0</v>
      </c>
      <c r="S33" s="246">
        <f>Q33+R33</f>
        <v>0</v>
      </c>
      <c r="T33" s="104"/>
      <c r="U33" s="232"/>
      <c r="V33" s="232"/>
      <c r="W33" s="246">
        <f>U33+V33</f>
        <v>0</v>
      </c>
      <c r="X33" s="104"/>
      <c r="Y33" s="232"/>
      <c r="Z33" s="232"/>
      <c r="AA33" s="246">
        <f>Y33+Z33</f>
        <v>0</v>
      </c>
    </row>
    <row r="34" spans="1:27" ht="13.5">
      <c r="A34" s="232">
        <v>2</v>
      </c>
      <c r="B34" s="104"/>
      <c r="C34" s="246"/>
      <c r="D34" s="246" t="s">
        <v>1</v>
      </c>
      <c r="E34" s="246" t="s">
        <v>1</v>
      </c>
      <c r="F34" s="246"/>
      <c r="G34" s="104"/>
      <c r="H34" s="232"/>
      <c r="I34" s="232"/>
      <c r="J34" s="246">
        <f>H34+I34</f>
        <v>0</v>
      </c>
      <c r="K34" s="246"/>
      <c r="L34" s="104"/>
      <c r="M34" s="232"/>
      <c r="N34" s="232"/>
      <c r="O34" s="246">
        <f>M34+N34</f>
        <v>0</v>
      </c>
      <c r="P34" s="246">
        <f t="shared" si="10"/>
        <v>0</v>
      </c>
      <c r="Q34" s="246">
        <f t="shared" si="10"/>
        <v>0</v>
      </c>
      <c r="R34" s="246">
        <f t="shared" si="10"/>
        <v>0</v>
      </c>
      <c r="S34" s="246">
        <f>Q34+R34</f>
        <v>0</v>
      </c>
      <c r="T34" s="104"/>
      <c r="U34" s="232"/>
      <c r="V34" s="232"/>
      <c r="W34" s="246">
        <f>U34+V34</f>
        <v>0</v>
      </c>
      <c r="X34" s="104"/>
      <c r="Y34" s="232"/>
      <c r="Z34" s="232"/>
      <c r="AA34" s="246">
        <f>Y34+Z34</f>
        <v>0</v>
      </c>
    </row>
    <row r="35" spans="1:27" ht="13.5">
      <c r="A35" s="232">
        <v>3</v>
      </c>
      <c r="B35" s="104"/>
      <c r="C35" s="246"/>
      <c r="D35" s="246" t="s">
        <v>1</v>
      </c>
      <c r="E35" s="246" t="s">
        <v>1</v>
      </c>
      <c r="F35" s="246"/>
      <c r="G35" s="104"/>
      <c r="H35" s="232"/>
      <c r="I35" s="232"/>
      <c r="J35" s="246">
        <f>H35+I35</f>
        <v>0</v>
      </c>
      <c r="K35" s="246"/>
      <c r="L35" s="104"/>
      <c r="M35" s="232"/>
      <c r="N35" s="232"/>
      <c r="O35" s="246">
        <f>M35+N35</f>
        <v>0</v>
      </c>
      <c r="P35" s="246">
        <f t="shared" si="10"/>
        <v>0</v>
      </c>
      <c r="Q35" s="246">
        <f t="shared" si="10"/>
        <v>0</v>
      </c>
      <c r="R35" s="246">
        <f t="shared" si="10"/>
        <v>0</v>
      </c>
      <c r="S35" s="246">
        <f>Q35+R35</f>
        <v>0</v>
      </c>
      <c r="T35" s="104"/>
      <c r="U35" s="232"/>
      <c r="V35" s="232"/>
      <c r="W35" s="246">
        <f>U35+V35</f>
        <v>0</v>
      </c>
      <c r="X35" s="104"/>
      <c r="Y35" s="232"/>
      <c r="Z35" s="232"/>
      <c r="AA35" s="246">
        <f>Y35+Z35</f>
        <v>0</v>
      </c>
    </row>
    <row r="36" spans="1:27" s="249" customFormat="1" ht="14.25">
      <c r="A36" s="244"/>
      <c r="B36" s="247" t="s">
        <v>110</v>
      </c>
      <c r="C36" s="248" t="s">
        <v>1</v>
      </c>
      <c r="D36" s="248" t="s">
        <v>1</v>
      </c>
      <c r="E36" s="248" t="s">
        <v>1</v>
      </c>
      <c r="F36" s="248" t="s">
        <v>1</v>
      </c>
      <c r="G36" s="248">
        <f>SUM(G33:G35)</f>
        <v>0</v>
      </c>
      <c r="H36" s="248">
        <f aca="true" t="shared" si="11" ref="H36:N36">SUM(H33:H35)</f>
        <v>0</v>
      </c>
      <c r="I36" s="248">
        <f t="shared" si="11"/>
        <v>0</v>
      </c>
      <c r="J36" s="248">
        <f t="shared" si="11"/>
        <v>0</v>
      </c>
      <c r="K36" s="248" t="s">
        <v>1</v>
      </c>
      <c r="L36" s="248">
        <f t="shared" si="11"/>
        <v>0</v>
      </c>
      <c r="M36" s="248">
        <f t="shared" si="11"/>
        <v>0</v>
      </c>
      <c r="N36" s="248">
        <f t="shared" si="11"/>
        <v>0</v>
      </c>
      <c r="O36" s="248">
        <f>SUM(O33:O35)</f>
        <v>0</v>
      </c>
      <c r="P36" s="248">
        <f>SUM(P33:P35)</f>
        <v>0</v>
      </c>
      <c r="Q36" s="248">
        <f>SUM(Q33:Q35)</f>
        <v>0</v>
      </c>
      <c r="R36" s="248">
        <f>SUM(R33:R35)</f>
        <v>0</v>
      </c>
      <c r="S36" s="248">
        <f>SUM(S33:S35)</f>
        <v>0</v>
      </c>
      <c r="T36" s="248">
        <f aca="true" t="shared" si="12" ref="T36:AA36">SUM(T33:T35)</f>
        <v>0</v>
      </c>
      <c r="U36" s="248">
        <f t="shared" si="12"/>
        <v>0</v>
      </c>
      <c r="V36" s="248">
        <f t="shared" si="12"/>
        <v>0</v>
      </c>
      <c r="W36" s="248">
        <f t="shared" si="12"/>
        <v>0</v>
      </c>
      <c r="X36" s="248">
        <f t="shared" si="12"/>
        <v>0</v>
      </c>
      <c r="Y36" s="248">
        <f t="shared" si="12"/>
        <v>0</v>
      </c>
      <c r="Z36" s="248">
        <f t="shared" si="12"/>
        <v>0</v>
      </c>
      <c r="AA36" s="248">
        <f t="shared" si="12"/>
        <v>0</v>
      </c>
    </row>
    <row r="37" spans="1:27" ht="13.5">
      <c r="A37" s="232"/>
      <c r="B37" s="104"/>
      <c r="C37" s="246"/>
      <c r="D37" s="246"/>
      <c r="E37" s="246"/>
      <c r="F37" s="246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</row>
    <row r="38" spans="1:27" s="249" customFormat="1" ht="27">
      <c r="A38" s="244"/>
      <c r="B38" s="245" t="s">
        <v>261</v>
      </c>
      <c r="C38" s="248" t="s">
        <v>1</v>
      </c>
      <c r="D38" s="248" t="s">
        <v>1</v>
      </c>
      <c r="E38" s="248" t="s">
        <v>1</v>
      </c>
      <c r="F38" s="248" t="s">
        <v>1</v>
      </c>
      <c r="G38" s="248">
        <f>G13+G28+G36</f>
        <v>0</v>
      </c>
      <c r="H38" s="248">
        <f>H13+H28+H36</f>
        <v>0</v>
      </c>
      <c r="I38" s="248">
        <f>I13+I28+I36</f>
        <v>0</v>
      </c>
      <c r="J38" s="248">
        <f>J13+J28+J36</f>
        <v>0</v>
      </c>
      <c r="K38" s="248" t="s">
        <v>1</v>
      </c>
      <c r="L38" s="248">
        <f aca="true" t="shared" si="13" ref="L38:AA38">L13+L28+L36</f>
        <v>0</v>
      </c>
      <c r="M38" s="248">
        <f t="shared" si="13"/>
        <v>0</v>
      </c>
      <c r="N38" s="248">
        <f t="shared" si="13"/>
        <v>0</v>
      </c>
      <c r="O38" s="248">
        <f t="shared" si="13"/>
        <v>0</v>
      </c>
      <c r="P38" s="248">
        <f t="shared" si="13"/>
        <v>0</v>
      </c>
      <c r="Q38" s="248">
        <f t="shared" si="13"/>
        <v>0</v>
      </c>
      <c r="R38" s="248">
        <f t="shared" si="13"/>
        <v>0</v>
      </c>
      <c r="S38" s="248">
        <f t="shared" si="13"/>
        <v>0</v>
      </c>
      <c r="T38" s="248">
        <f t="shared" si="13"/>
        <v>0</v>
      </c>
      <c r="U38" s="248">
        <f t="shared" si="13"/>
        <v>0</v>
      </c>
      <c r="V38" s="248">
        <f t="shared" si="13"/>
        <v>0</v>
      </c>
      <c r="W38" s="248">
        <f t="shared" si="13"/>
        <v>0</v>
      </c>
      <c r="X38" s="248">
        <f t="shared" si="13"/>
        <v>0</v>
      </c>
      <c r="Y38" s="248">
        <f t="shared" si="13"/>
        <v>0</v>
      </c>
      <c r="Z38" s="248">
        <f t="shared" si="13"/>
        <v>0</v>
      </c>
      <c r="AA38" s="248">
        <f t="shared" si="13"/>
        <v>0</v>
      </c>
    </row>
    <row r="39" spans="1:17" s="16" customFormat="1" ht="12.75">
      <c r="A39" s="43"/>
      <c r="B39" s="253"/>
      <c r="C39" s="254"/>
      <c r="D39" s="43"/>
      <c r="E39" s="43"/>
      <c r="F39" s="43"/>
      <c r="G39" s="253"/>
      <c r="H39" s="43"/>
      <c r="I39" s="43"/>
      <c r="J39" s="43"/>
      <c r="K39" s="43"/>
      <c r="L39" s="253"/>
      <c r="M39" s="43" t="s">
        <v>0</v>
      </c>
      <c r="N39" s="43"/>
      <c r="O39" s="253"/>
      <c r="P39" s="43" t="s">
        <v>0</v>
      </c>
      <c r="Q39" s="253"/>
    </row>
    <row r="40" s="33" customFormat="1" ht="13.5">
      <c r="A40" s="32"/>
    </row>
    <row r="41" ht="13.5">
      <c r="B41" s="5" t="s">
        <v>230</v>
      </c>
    </row>
    <row r="42" spans="2:7" ht="27.75" customHeight="1">
      <c r="B42" s="191" t="s">
        <v>420</v>
      </c>
      <c r="C42" s="191"/>
      <c r="D42" s="324"/>
      <c r="E42" s="324"/>
      <c r="F42" s="324"/>
      <c r="G42" s="324"/>
    </row>
    <row r="43" spans="2:9" ht="44.25" customHeight="1">
      <c r="B43" s="963" t="s">
        <v>419</v>
      </c>
      <c r="C43" s="964"/>
      <c r="D43" s="964"/>
      <c r="E43" s="964"/>
      <c r="F43" s="964"/>
      <c r="G43" s="964"/>
      <c r="H43" s="964"/>
      <c r="I43" s="964"/>
    </row>
    <row r="44" spans="2:7" ht="23.25" customHeight="1">
      <c r="B44" s="592" t="s">
        <v>486</v>
      </c>
      <c r="C44" s="324"/>
      <c r="D44" s="324"/>
      <c r="E44" s="324"/>
      <c r="F44" s="324"/>
      <c r="G44" s="324"/>
    </row>
    <row r="45" spans="1:8" s="33" customFormat="1" ht="37.5" customHeight="1">
      <c r="A45" s="330"/>
      <c r="B45" s="965" t="s">
        <v>498</v>
      </c>
      <c r="C45" s="965"/>
      <c r="D45" s="965"/>
      <c r="E45" s="965"/>
      <c r="F45" s="965"/>
      <c r="G45" s="965"/>
      <c r="H45" s="965"/>
    </row>
    <row r="46" s="33" customFormat="1" ht="13.5">
      <c r="A46" s="32"/>
    </row>
  </sheetData>
  <sheetProtection/>
  <mergeCells count="7">
    <mergeCell ref="X5:AA5"/>
    <mergeCell ref="B45:H45"/>
    <mergeCell ref="H2:I2"/>
    <mergeCell ref="L5:O5"/>
    <mergeCell ref="P5:S5"/>
    <mergeCell ref="B43:I43"/>
    <mergeCell ref="T5:W5"/>
  </mergeCells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R41"/>
  <sheetViews>
    <sheetView zoomScalePageLayoutView="0" workbookViewId="0" topLeftCell="A1">
      <selection activeCell="L1" sqref="L1"/>
    </sheetView>
  </sheetViews>
  <sheetFormatPr defaultColWidth="9.140625" defaultRowHeight="12.75"/>
  <cols>
    <col min="1" max="1" width="3.57421875" style="33" customWidth="1"/>
    <col min="2" max="2" width="21.28125" style="33" customWidth="1"/>
    <col min="3" max="3" width="10.57421875" style="33" bestFit="1" customWidth="1"/>
    <col min="4" max="5" width="9.140625" style="33" bestFit="1" customWidth="1"/>
    <col min="6" max="6" width="12.57421875" style="33" customWidth="1"/>
    <col min="7" max="7" width="12.57421875" style="21" customWidth="1"/>
    <col min="8" max="8" width="8.57421875" style="33" bestFit="1" customWidth="1"/>
    <col min="9" max="9" width="12.57421875" style="33" customWidth="1"/>
    <col min="10" max="11" width="12.57421875" style="374" customWidth="1"/>
    <col min="12" max="12" width="16.140625" style="33" customWidth="1"/>
    <col min="13" max="13" width="15.421875" style="33" customWidth="1"/>
    <col min="14" max="14" width="12.57421875" style="33" customWidth="1"/>
    <col min="15" max="15" width="13.28125" style="33" bestFit="1" customWidth="1"/>
    <col min="16" max="16" width="10.57421875" style="33" bestFit="1" customWidth="1"/>
    <col min="17" max="17" width="13.28125" style="33" bestFit="1" customWidth="1"/>
    <col min="18" max="18" width="11.28125" style="33" bestFit="1" customWidth="1"/>
    <col min="19" max="19" width="8.57421875" style="33" bestFit="1" customWidth="1"/>
    <col min="20" max="20" width="11.00390625" style="33" bestFit="1" customWidth="1"/>
    <col min="21" max="21" width="12.140625" style="374" customWidth="1"/>
    <col min="22" max="22" width="10.8515625" style="374" customWidth="1"/>
    <col min="23" max="23" width="10.57421875" style="33" customWidth="1"/>
    <col min="24" max="24" width="11.57421875" style="33" customWidth="1"/>
    <col min="25" max="25" width="9.7109375" style="33" bestFit="1" customWidth="1"/>
    <col min="26" max="26" width="10.140625" style="33" bestFit="1" customWidth="1"/>
    <col min="27" max="28" width="11.00390625" style="33" bestFit="1" customWidth="1"/>
    <col min="29" max="29" width="12.7109375" style="33" bestFit="1" customWidth="1"/>
    <col min="30" max="31" width="12.8515625" style="33" customWidth="1"/>
    <col min="32" max="32" width="10.140625" style="33" bestFit="1" customWidth="1"/>
    <col min="33" max="34" width="11.00390625" style="332" bestFit="1" customWidth="1"/>
    <col min="35" max="35" width="13.7109375" style="332" bestFit="1" customWidth="1"/>
    <col min="36" max="36" width="15.140625" style="332" customWidth="1"/>
    <col min="37" max="37" width="13.421875" style="332" bestFit="1" customWidth="1"/>
    <col min="38" max="38" width="13.7109375" style="332" bestFit="1" customWidth="1"/>
    <col min="39" max="39" width="12.421875" style="332" customWidth="1"/>
    <col min="40" max="43" width="15.140625" style="332" customWidth="1"/>
    <col min="44" max="44" width="13.00390625" style="332" customWidth="1"/>
    <col min="45" max="16384" width="9.140625" style="332" customWidth="1"/>
  </cols>
  <sheetData>
    <row r="1" spans="1:32" s="33" customFormat="1" ht="16.5">
      <c r="A1" s="32"/>
      <c r="B1" s="236" t="s">
        <v>218</v>
      </c>
      <c r="C1" s="236"/>
      <c r="D1" s="236"/>
      <c r="E1" s="236"/>
      <c r="F1" s="236"/>
      <c r="G1" s="236"/>
      <c r="H1" s="236"/>
      <c r="I1" s="236"/>
      <c r="J1" s="402"/>
      <c r="K1" s="402"/>
      <c r="L1" s="137" t="s">
        <v>265</v>
      </c>
      <c r="M1" s="137"/>
      <c r="N1" s="137"/>
      <c r="T1" s="3"/>
      <c r="U1" s="376"/>
      <c r="V1" s="376"/>
      <c r="X1" s="138"/>
      <c r="Y1" s="138"/>
      <c r="Z1" s="138"/>
      <c r="AA1" s="32"/>
      <c r="AB1" s="137"/>
      <c r="AF1" s="138"/>
    </row>
    <row r="2" spans="1:32" s="33" customFormat="1" ht="22.5" customHeight="1" thickBot="1">
      <c r="A2" s="32"/>
      <c r="B2" s="24"/>
      <c r="C2" s="24"/>
      <c r="D2" s="24"/>
      <c r="E2" s="24"/>
      <c r="F2" s="24"/>
      <c r="G2" s="24"/>
      <c r="H2" s="24"/>
      <c r="I2" s="24"/>
      <c r="K2" s="152"/>
      <c r="L2" s="422" t="s">
        <v>27</v>
      </c>
      <c r="M2" s="152"/>
      <c r="N2" s="152"/>
      <c r="O2" s="152"/>
      <c r="P2" s="6"/>
      <c r="Q2" s="6"/>
      <c r="R2" s="6"/>
      <c r="S2" s="9"/>
      <c r="T2" s="188"/>
      <c r="U2" s="406"/>
      <c r="V2" s="399"/>
      <c r="W2" s="237"/>
      <c r="X2" s="238"/>
      <c r="Y2" s="238"/>
      <c r="Z2" s="238"/>
      <c r="AA2" s="152"/>
      <c r="AB2" s="152"/>
      <c r="AC2" s="152"/>
      <c r="AD2" s="152"/>
      <c r="AE2" s="152"/>
      <c r="AF2" s="152"/>
    </row>
    <row r="3" spans="1:31" s="190" customFormat="1" ht="27">
      <c r="A3" s="32"/>
      <c r="B3" s="423" t="s">
        <v>28</v>
      </c>
      <c r="C3" s="189"/>
      <c r="D3" s="189"/>
      <c r="E3" s="189"/>
      <c r="F3" s="189"/>
      <c r="G3" s="189"/>
      <c r="H3" s="189"/>
      <c r="I3" s="189"/>
      <c r="J3" s="374"/>
      <c r="K3" s="374"/>
      <c r="O3" s="36"/>
      <c r="P3" s="189"/>
      <c r="Q3" s="189"/>
      <c r="R3" s="189"/>
      <c r="S3" s="33"/>
      <c r="T3" s="33"/>
      <c r="U3" s="374"/>
      <c r="V3" s="383"/>
      <c r="W3" s="36"/>
      <c r="AA3" s="33"/>
      <c r="AC3" s="36"/>
      <c r="AD3" s="36"/>
      <c r="AE3" s="36"/>
    </row>
    <row r="4" spans="1:31" s="190" customFormat="1" ht="22.5" customHeight="1">
      <c r="A4" s="32"/>
      <c r="B4" s="189"/>
      <c r="C4" s="189"/>
      <c r="D4" s="189"/>
      <c r="E4" s="189"/>
      <c r="F4" s="189"/>
      <c r="G4" s="189"/>
      <c r="H4" s="189"/>
      <c r="I4" s="189"/>
      <c r="J4" s="374"/>
      <c r="K4" s="374"/>
      <c r="L4" s="43" t="s">
        <v>216</v>
      </c>
      <c r="M4" s="43"/>
      <c r="N4" s="43"/>
      <c r="O4" s="36"/>
      <c r="P4" s="189"/>
      <c r="Q4" s="189"/>
      <c r="R4" s="189"/>
      <c r="S4" s="33"/>
      <c r="T4" s="33"/>
      <c r="U4" s="374"/>
      <c r="V4" s="383"/>
      <c r="W4" s="36"/>
      <c r="AA4" s="33"/>
      <c r="AB4" s="43"/>
      <c r="AC4" s="36"/>
      <c r="AD4" s="36"/>
      <c r="AE4" s="36"/>
    </row>
    <row r="5" spans="1:44" ht="12.75" customHeight="1">
      <c r="A5" s="260"/>
      <c r="B5" s="261"/>
      <c r="C5" s="981" t="s">
        <v>452</v>
      </c>
      <c r="D5" s="982"/>
      <c r="E5" s="982"/>
      <c r="F5" s="982"/>
      <c r="G5" s="982"/>
      <c r="H5" s="982"/>
      <c r="I5" s="982"/>
      <c r="J5" s="982"/>
      <c r="K5" s="982"/>
      <c r="L5" s="982"/>
      <c r="M5" s="982"/>
      <c r="N5" s="982"/>
      <c r="O5" s="983"/>
      <c r="P5" s="984" t="s">
        <v>462</v>
      </c>
      <c r="Q5" s="985"/>
      <c r="R5" s="985"/>
      <c r="S5" s="985"/>
      <c r="T5" s="985"/>
      <c r="U5" s="985"/>
      <c r="V5" s="985"/>
      <c r="W5" s="985"/>
      <c r="X5" s="985"/>
      <c r="Y5" s="985"/>
      <c r="Z5" s="986"/>
      <c r="AA5" s="987" t="s">
        <v>217</v>
      </c>
      <c r="AB5" s="987"/>
      <c r="AC5" s="987"/>
      <c r="AD5" s="987"/>
      <c r="AE5" s="987"/>
      <c r="AF5" s="987"/>
      <c r="AG5" s="985" t="s">
        <v>479</v>
      </c>
      <c r="AH5" s="985"/>
      <c r="AI5" s="985"/>
      <c r="AJ5" s="985"/>
      <c r="AK5" s="985"/>
      <c r="AL5" s="985"/>
      <c r="AM5" s="984" t="s">
        <v>527</v>
      </c>
      <c r="AN5" s="985"/>
      <c r="AO5" s="985"/>
      <c r="AP5" s="985"/>
      <c r="AQ5" s="605"/>
      <c r="AR5" s="615"/>
    </row>
    <row r="6" spans="1:44" ht="165.75">
      <c r="A6" s="127" t="s">
        <v>111</v>
      </c>
      <c r="B6" s="65" t="s">
        <v>254</v>
      </c>
      <c r="C6" s="65" t="s">
        <v>212</v>
      </c>
      <c r="D6" s="65" t="s">
        <v>220</v>
      </c>
      <c r="E6" s="65" t="s">
        <v>292</v>
      </c>
      <c r="F6" s="65" t="s">
        <v>295</v>
      </c>
      <c r="G6" s="65" t="s">
        <v>428</v>
      </c>
      <c r="H6" s="65" t="s">
        <v>283</v>
      </c>
      <c r="I6" s="472" t="s">
        <v>424</v>
      </c>
      <c r="J6" s="473" t="s">
        <v>427</v>
      </c>
      <c r="K6" s="473" t="s">
        <v>348</v>
      </c>
      <c r="L6" s="293" t="s">
        <v>296</v>
      </c>
      <c r="M6" s="293" t="s">
        <v>309</v>
      </c>
      <c r="N6" s="293" t="s">
        <v>223</v>
      </c>
      <c r="O6" s="293" t="s">
        <v>310</v>
      </c>
      <c r="P6" s="65" t="s">
        <v>212</v>
      </c>
      <c r="Q6" s="65" t="s">
        <v>295</v>
      </c>
      <c r="R6" s="65" t="s">
        <v>426</v>
      </c>
      <c r="S6" s="65" t="s">
        <v>283</v>
      </c>
      <c r="T6" s="472" t="s">
        <v>429</v>
      </c>
      <c r="U6" s="473" t="s">
        <v>427</v>
      </c>
      <c r="V6" s="473" t="s">
        <v>348</v>
      </c>
      <c r="W6" s="293" t="s">
        <v>296</v>
      </c>
      <c r="X6" s="293" t="s">
        <v>309</v>
      </c>
      <c r="Y6" s="293" t="s">
        <v>223</v>
      </c>
      <c r="Z6" s="293" t="s">
        <v>255</v>
      </c>
      <c r="AA6" s="293" t="s">
        <v>212</v>
      </c>
      <c r="AB6" s="474" t="s">
        <v>294</v>
      </c>
      <c r="AC6" s="475" t="s">
        <v>296</v>
      </c>
      <c r="AD6" s="293" t="s">
        <v>309</v>
      </c>
      <c r="AE6" s="293" t="s">
        <v>223</v>
      </c>
      <c r="AF6" s="293" t="s">
        <v>255</v>
      </c>
      <c r="AG6" s="293" t="s">
        <v>212</v>
      </c>
      <c r="AH6" s="474" t="s">
        <v>239</v>
      </c>
      <c r="AI6" s="475" t="s">
        <v>296</v>
      </c>
      <c r="AJ6" s="293" t="s">
        <v>309</v>
      </c>
      <c r="AK6" s="293" t="s">
        <v>223</v>
      </c>
      <c r="AL6" s="293" t="s">
        <v>310</v>
      </c>
      <c r="AM6" s="293" t="s">
        <v>212</v>
      </c>
      <c r="AN6" s="474" t="s">
        <v>239</v>
      </c>
      <c r="AO6" s="475" t="s">
        <v>296</v>
      </c>
      <c r="AP6" s="293" t="s">
        <v>309</v>
      </c>
      <c r="AQ6" s="293" t="s">
        <v>223</v>
      </c>
      <c r="AR6" s="293" t="s">
        <v>255</v>
      </c>
    </row>
    <row r="7" spans="1:44" ht="13.5">
      <c r="A7" s="243">
        <v>1</v>
      </c>
      <c r="B7" s="243">
        <v>2</v>
      </c>
      <c r="C7" s="243">
        <v>3</v>
      </c>
      <c r="D7" s="243">
        <v>4</v>
      </c>
      <c r="E7" s="243">
        <v>5</v>
      </c>
      <c r="F7" s="243">
        <v>6</v>
      </c>
      <c r="G7" s="243">
        <v>7</v>
      </c>
      <c r="H7" s="243">
        <v>8</v>
      </c>
      <c r="I7" s="243">
        <v>9</v>
      </c>
      <c r="J7" s="377">
        <v>10</v>
      </c>
      <c r="K7" s="377">
        <v>11</v>
      </c>
      <c r="L7" s="243">
        <v>12</v>
      </c>
      <c r="M7" s="243">
        <v>13</v>
      </c>
      <c r="N7" s="243">
        <v>14</v>
      </c>
      <c r="O7" s="243">
        <v>15</v>
      </c>
      <c r="P7" s="243">
        <v>16</v>
      </c>
      <c r="Q7" s="243">
        <v>17</v>
      </c>
      <c r="R7" s="243">
        <v>18</v>
      </c>
      <c r="S7" s="243">
        <v>19</v>
      </c>
      <c r="T7" s="243">
        <v>20</v>
      </c>
      <c r="U7" s="377">
        <v>21</v>
      </c>
      <c r="V7" s="377">
        <v>22</v>
      </c>
      <c r="W7" s="243">
        <v>23</v>
      </c>
      <c r="X7" s="243">
        <v>24</v>
      </c>
      <c r="Y7" s="243">
        <v>25</v>
      </c>
      <c r="Z7" s="243">
        <v>26</v>
      </c>
      <c r="AA7" s="243">
        <v>27</v>
      </c>
      <c r="AB7" s="243">
        <v>28</v>
      </c>
      <c r="AC7" s="243">
        <v>29</v>
      </c>
      <c r="AD7" s="243">
        <v>30</v>
      </c>
      <c r="AE7" s="243">
        <v>31</v>
      </c>
      <c r="AF7" s="243">
        <v>32</v>
      </c>
      <c r="AG7" s="243">
        <v>33</v>
      </c>
      <c r="AH7" s="243">
        <v>34</v>
      </c>
      <c r="AI7" s="243">
        <v>35</v>
      </c>
      <c r="AJ7" s="243">
        <v>36</v>
      </c>
      <c r="AK7" s="243">
        <v>37</v>
      </c>
      <c r="AL7" s="243">
        <v>38</v>
      </c>
      <c r="AM7" s="243">
        <v>39</v>
      </c>
      <c r="AN7" s="243">
        <v>40</v>
      </c>
      <c r="AO7" s="243">
        <v>41</v>
      </c>
      <c r="AP7" s="243">
        <v>42</v>
      </c>
      <c r="AQ7" s="243">
        <v>43</v>
      </c>
      <c r="AR7" s="243">
        <v>44</v>
      </c>
    </row>
    <row r="8" spans="1:44" ht="28.5">
      <c r="A8" s="104"/>
      <c r="B8" s="30" t="s">
        <v>306</v>
      </c>
      <c r="C8" s="30"/>
      <c r="D8" s="30"/>
      <c r="E8" s="30"/>
      <c r="F8" s="30"/>
      <c r="G8" s="18"/>
      <c r="H8" s="30"/>
      <c r="I8" s="30"/>
      <c r="J8" s="403"/>
      <c r="K8" s="403"/>
      <c r="L8" s="30"/>
      <c r="M8" s="30"/>
      <c r="N8" s="30"/>
      <c r="O8" s="30"/>
      <c r="P8" s="278"/>
      <c r="Q8" s="278"/>
      <c r="R8" s="278"/>
      <c r="S8" s="278"/>
      <c r="T8" s="279"/>
      <c r="U8" s="400"/>
      <c r="V8" s="400"/>
      <c r="W8" s="244"/>
      <c r="X8" s="244"/>
      <c r="Y8" s="244"/>
      <c r="Z8" s="244"/>
      <c r="AA8" s="279"/>
      <c r="AB8" s="279"/>
      <c r="AC8" s="279"/>
      <c r="AD8" s="279"/>
      <c r="AE8" s="279"/>
      <c r="AF8" s="244"/>
      <c r="AG8" s="279"/>
      <c r="AH8" s="279"/>
      <c r="AI8" s="279"/>
      <c r="AJ8" s="279"/>
      <c r="AK8" s="279"/>
      <c r="AL8" s="244"/>
      <c r="AM8" s="279"/>
      <c r="AN8" s="279"/>
      <c r="AO8" s="279"/>
      <c r="AP8" s="279"/>
      <c r="AQ8" s="279"/>
      <c r="AR8" s="244"/>
    </row>
    <row r="9" spans="1:44" ht="14.25">
      <c r="A9" s="104"/>
      <c r="B9" s="207" t="s">
        <v>123</v>
      </c>
      <c r="C9" s="207"/>
      <c r="D9" s="207"/>
      <c r="E9" s="207"/>
      <c r="F9" s="207"/>
      <c r="G9" s="335"/>
      <c r="H9" s="207"/>
      <c r="I9" s="207"/>
      <c r="J9" s="386"/>
      <c r="K9" s="386"/>
      <c r="L9" s="207"/>
      <c r="M9" s="207"/>
      <c r="N9" s="207"/>
      <c r="O9" s="207"/>
      <c r="P9" s="278"/>
      <c r="Q9" s="278"/>
      <c r="R9" s="278"/>
      <c r="S9" s="278"/>
      <c r="T9" s="244"/>
      <c r="U9" s="385"/>
      <c r="V9" s="385"/>
      <c r="W9" s="244"/>
      <c r="X9" s="244"/>
      <c r="Y9" s="244"/>
      <c r="Z9" s="244"/>
      <c r="AA9" s="244"/>
      <c r="AB9" s="244"/>
      <c r="AC9" s="278"/>
      <c r="AD9" s="278"/>
      <c r="AE9" s="278"/>
      <c r="AF9" s="244"/>
      <c r="AG9" s="244"/>
      <c r="AH9" s="244"/>
      <c r="AI9" s="278"/>
      <c r="AJ9" s="278"/>
      <c r="AK9" s="278"/>
      <c r="AL9" s="244"/>
      <c r="AM9" s="244"/>
      <c r="AN9" s="244"/>
      <c r="AO9" s="278"/>
      <c r="AP9" s="278"/>
      <c r="AQ9" s="278"/>
      <c r="AR9" s="244"/>
    </row>
    <row r="10" spans="1:44" ht="13.5">
      <c r="A10" s="127"/>
      <c r="B10" s="245" t="s">
        <v>418</v>
      </c>
      <c r="C10" s="331"/>
      <c r="D10" s="331"/>
      <c r="E10" s="331"/>
      <c r="F10" s="331"/>
      <c r="G10" s="336"/>
      <c r="H10" s="331"/>
      <c r="I10" s="331"/>
      <c r="J10" s="404"/>
      <c r="K10" s="404"/>
      <c r="L10" s="331"/>
      <c r="M10" s="331"/>
      <c r="N10" s="331"/>
      <c r="O10" s="331"/>
      <c r="P10" s="243"/>
      <c r="Q10" s="243"/>
      <c r="R10" s="243"/>
      <c r="S10" s="243"/>
      <c r="T10" s="243"/>
      <c r="U10" s="377"/>
      <c r="V10" s="377"/>
      <c r="W10" s="243"/>
      <c r="X10" s="243"/>
      <c r="Y10" s="243"/>
      <c r="Z10" s="243"/>
      <c r="AA10" s="127"/>
      <c r="AB10" s="243"/>
      <c r="AC10" s="243"/>
      <c r="AD10" s="243"/>
      <c r="AE10" s="243"/>
      <c r="AF10" s="243"/>
      <c r="AG10" s="127"/>
      <c r="AH10" s="243"/>
      <c r="AI10" s="243"/>
      <c r="AJ10" s="243"/>
      <c r="AK10" s="243"/>
      <c r="AL10" s="243"/>
      <c r="AM10" s="127"/>
      <c r="AN10" s="243"/>
      <c r="AO10" s="243"/>
      <c r="AP10" s="243"/>
      <c r="AQ10" s="243"/>
      <c r="AR10" s="243"/>
    </row>
    <row r="11" spans="1:44" ht="14.25">
      <c r="A11" s="104"/>
      <c r="B11" s="207" t="s">
        <v>193</v>
      </c>
      <c r="C11" s="207"/>
      <c r="D11" s="207"/>
      <c r="E11" s="207"/>
      <c r="F11" s="207"/>
      <c r="G11" s="335"/>
      <c r="H11" s="207"/>
      <c r="I11" s="207"/>
      <c r="J11" s="386"/>
      <c r="K11" s="386"/>
      <c r="L11" s="207"/>
      <c r="M11" s="207"/>
      <c r="N11" s="207"/>
      <c r="O11" s="207"/>
      <c r="P11" s="104"/>
      <c r="Q11" s="104"/>
      <c r="R11" s="104"/>
      <c r="S11" s="104"/>
      <c r="T11" s="104"/>
      <c r="U11" s="378"/>
      <c r="V11" s="378"/>
      <c r="W11" s="104"/>
      <c r="X11" s="278"/>
      <c r="Y11" s="278"/>
      <c r="Z11" s="278"/>
      <c r="AA11" s="244"/>
      <c r="AB11" s="278"/>
      <c r="AC11" s="278"/>
      <c r="AD11" s="278"/>
      <c r="AE11" s="278"/>
      <c r="AF11" s="244"/>
      <c r="AG11" s="244"/>
      <c r="AH11" s="278"/>
      <c r="AI11" s="278"/>
      <c r="AJ11" s="278"/>
      <c r="AK11" s="278"/>
      <c r="AL11" s="244"/>
      <c r="AM11" s="244"/>
      <c r="AN11" s="278"/>
      <c r="AO11" s="278"/>
      <c r="AP11" s="278"/>
      <c r="AQ11" s="278"/>
      <c r="AR11" s="244"/>
    </row>
    <row r="12" spans="1:44" ht="14.25">
      <c r="A12" s="127">
        <v>1</v>
      </c>
      <c r="B12" s="243"/>
      <c r="C12" s="243"/>
      <c r="D12" s="243"/>
      <c r="E12" s="243"/>
      <c r="F12" s="243"/>
      <c r="G12" s="337"/>
      <c r="H12" s="243"/>
      <c r="I12" s="243"/>
      <c r="J12" s="377"/>
      <c r="K12" s="377"/>
      <c r="L12" s="243"/>
      <c r="M12" s="243"/>
      <c r="N12" s="243"/>
      <c r="O12" s="280">
        <f>I12+L12+M12+N12</f>
        <v>0</v>
      </c>
      <c r="P12" s="31"/>
      <c r="Q12" s="31"/>
      <c r="R12" s="31"/>
      <c r="S12" s="31"/>
      <c r="T12" s="31"/>
      <c r="U12" s="379"/>
      <c r="V12" s="379"/>
      <c r="W12" s="275"/>
      <c r="X12" s="280"/>
      <c r="Y12" s="280"/>
      <c r="Z12" s="280">
        <f>T12+W12+X12+Y12</f>
        <v>0</v>
      </c>
      <c r="AA12" s="280">
        <f>C12-P12</f>
        <v>0</v>
      </c>
      <c r="AB12" s="280">
        <f>I12-T12</f>
        <v>0</v>
      </c>
      <c r="AC12" s="280">
        <f aca="true" t="shared" si="0" ref="AC12:AE14">L12-W12</f>
        <v>0</v>
      </c>
      <c r="AD12" s="280">
        <f t="shared" si="0"/>
        <v>0</v>
      </c>
      <c r="AE12" s="280">
        <f t="shared" si="0"/>
        <v>0</v>
      </c>
      <c r="AF12" s="280">
        <f>AB12+AC12+AD12+AE12</f>
        <v>0</v>
      </c>
      <c r="AG12" s="248"/>
      <c r="AH12" s="278"/>
      <c r="AI12" s="278"/>
      <c r="AJ12" s="278"/>
      <c r="AK12" s="278"/>
      <c r="AL12" s="280">
        <f>AH12+AI12+AJ12+AK12</f>
        <v>0</v>
      </c>
      <c r="AM12" s="248"/>
      <c r="AN12" s="278"/>
      <c r="AO12" s="278"/>
      <c r="AP12" s="278"/>
      <c r="AQ12" s="278"/>
      <c r="AR12" s="280">
        <f>AN12+AO12+AP12+AQ12</f>
        <v>0</v>
      </c>
    </row>
    <row r="13" spans="1:44" ht="14.25">
      <c r="A13" s="127">
        <v>2</v>
      </c>
      <c r="B13" s="243"/>
      <c r="C13" s="243"/>
      <c r="D13" s="243"/>
      <c r="E13" s="243"/>
      <c r="F13" s="243"/>
      <c r="G13" s="337"/>
      <c r="H13" s="243"/>
      <c r="I13" s="243"/>
      <c r="J13" s="377"/>
      <c r="K13" s="377"/>
      <c r="L13" s="243"/>
      <c r="M13" s="243"/>
      <c r="N13" s="243"/>
      <c r="O13" s="280">
        <f>I13+L13+M13+N13</f>
        <v>0</v>
      </c>
      <c r="P13" s="31"/>
      <c r="Q13" s="31"/>
      <c r="R13" s="31"/>
      <c r="S13" s="31"/>
      <c r="T13" s="31"/>
      <c r="U13" s="379"/>
      <c r="V13" s="379"/>
      <c r="W13" s="275"/>
      <c r="X13" s="280"/>
      <c r="Y13" s="280"/>
      <c r="Z13" s="280">
        <f>T13+W13+X13+Y13</f>
        <v>0</v>
      </c>
      <c r="AA13" s="280">
        <f>C13-P13</f>
        <v>0</v>
      </c>
      <c r="AB13" s="280">
        <f>I13-T13</f>
        <v>0</v>
      </c>
      <c r="AC13" s="280">
        <f t="shared" si="0"/>
        <v>0</v>
      </c>
      <c r="AD13" s="280">
        <f t="shared" si="0"/>
        <v>0</v>
      </c>
      <c r="AE13" s="280">
        <f t="shared" si="0"/>
        <v>0</v>
      </c>
      <c r="AF13" s="280">
        <f>AB13+AC13+AD13+AE13</f>
        <v>0</v>
      </c>
      <c r="AG13" s="248"/>
      <c r="AH13" s="278"/>
      <c r="AI13" s="278"/>
      <c r="AJ13" s="278"/>
      <c r="AK13" s="278"/>
      <c r="AL13" s="280">
        <f>AH13+AI13+AJ13+AK13</f>
        <v>0</v>
      </c>
      <c r="AM13" s="248"/>
      <c r="AN13" s="278"/>
      <c r="AO13" s="278"/>
      <c r="AP13" s="278"/>
      <c r="AQ13" s="278"/>
      <c r="AR13" s="280">
        <f>AN13+AO13+AP13+AQ13</f>
        <v>0</v>
      </c>
    </row>
    <row r="14" spans="1:44" ht="14.25">
      <c r="A14" s="127">
        <v>3</v>
      </c>
      <c r="B14" s="243"/>
      <c r="C14" s="243"/>
      <c r="D14" s="243"/>
      <c r="E14" s="243"/>
      <c r="F14" s="243"/>
      <c r="G14" s="337"/>
      <c r="H14" s="243"/>
      <c r="I14" s="243"/>
      <c r="J14" s="377"/>
      <c r="K14" s="377"/>
      <c r="L14" s="243"/>
      <c r="M14" s="243"/>
      <c r="N14" s="243"/>
      <c r="O14" s="280">
        <f>I14+L14+M14+N14</f>
        <v>0</v>
      </c>
      <c r="P14" s="104"/>
      <c r="Q14" s="104"/>
      <c r="R14" s="104"/>
      <c r="S14" s="104"/>
      <c r="T14" s="104"/>
      <c r="U14" s="378"/>
      <c r="V14" s="378"/>
      <c r="W14" s="275"/>
      <c r="X14" s="280"/>
      <c r="Y14" s="280"/>
      <c r="Z14" s="280">
        <f>T14+W14+X14+Y14</f>
        <v>0</v>
      </c>
      <c r="AA14" s="280">
        <f>C14-P14</f>
        <v>0</v>
      </c>
      <c r="AB14" s="280">
        <f>I14-T14</f>
        <v>0</v>
      </c>
      <c r="AC14" s="280">
        <f t="shared" si="0"/>
        <v>0</v>
      </c>
      <c r="AD14" s="280">
        <f t="shared" si="0"/>
        <v>0</v>
      </c>
      <c r="AE14" s="280">
        <f t="shared" si="0"/>
        <v>0</v>
      </c>
      <c r="AF14" s="280">
        <f>AB14+AC14+AD14+AE14</f>
        <v>0</v>
      </c>
      <c r="AG14" s="248"/>
      <c r="AH14" s="278"/>
      <c r="AI14" s="278"/>
      <c r="AJ14" s="278"/>
      <c r="AK14" s="278"/>
      <c r="AL14" s="280">
        <f>AH14+AI14+AJ14+AK14</f>
        <v>0</v>
      </c>
      <c r="AM14" s="248"/>
      <c r="AN14" s="278"/>
      <c r="AO14" s="278"/>
      <c r="AP14" s="278"/>
      <c r="AQ14" s="278"/>
      <c r="AR14" s="280">
        <f>AN14+AO14+AP14+AQ14</f>
        <v>0</v>
      </c>
    </row>
    <row r="15" spans="1:44" s="333" customFormat="1" ht="13.5">
      <c r="A15" s="278"/>
      <c r="B15" s="251" t="s">
        <v>263</v>
      </c>
      <c r="C15" s="280">
        <f>SUM(C12:C14)</f>
        <v>0</v>
      </c>
      <c r="D15" s="280" t="s">
        <v>1</v>
      </c>
      <c r="E15" s="280" t="s">
        <v>1</v>
      </c>
      <c r="F15" s="280" t="s">
        <v>1</v>
      </c>
      <c r="G15" s="280" t="s">
        <v>1</v>
      </c>
      <c r="H15" s="280" t="s">
        <v>1</v>
      </c>
      <c r="I15" s="280">
        <f aca="true" t="shared" si="1" ref="I15:P15">SUM(I12:I14)</f>
        <v>0</v>
      </c>
      <c r="J15" s="380">
        <f t="shared" si="1"/>
        <v>0</v>
      </c>
      <c r="K15" s="380">
        <f t="shared" si="1"/>
        <v>0</v>
      </c>
      <c r="L15" s="280">
        <f t="shared" si="1"/>
        <v>0</v>
      </c>
      <c r="M15" s="280">
        <f t="shared" si="1"/>
        <v>0</v>
      </c>
      <c r="N15" s="280">
        <f t="shared" si="1"/>
        <v>0</v>
      </c>
      <c r="O15" s="280">
        <f t="shared" si="1"/>
        <v>0</v>
      </c>
      <c r="P15" s="280">
        <f t="shared" si="1"/>
        <v>0</v>
      </c>
      <c r="Q15" s="280" t="s">
        <v>1</v>
      </c>
      <c r="R15" s="280" t="s">
        <v>1</v>
      </c>
      <c r="S15" s="280" t="s">
        <v>1</v>
      </c>
      <c r="T15" s="280">
        <f aca="true" t="shared" si="2" ref="T15:AR15">SUM(T12:T14)</f>
        <v>0</v>
      </c>
      <c r="U15" s="380">
        <f t="shared" si="2"/>
        <v>0</v>
      </c>
      <c r="V15" s="380">
        <f t="shared" si="2"/>
        <v>0</v>
      </c>
      <c r="W15" s="280">
        <f t="shared" si="2"/>
        <v>0</v>
      </c>
      <c r="X15" s="280">
        <f t="shared" si="2"/>
        <v>0</v>
      </c>
      <c r="Y15" s="280">
        <f t="shared" si="2"/>
        <v>0</v>
      </c>
      <c r="Z15" s="280">
        <f t="shared" si="2"/>
        <v>0</v>
      </c>
      <c r="AA15" s="280">
        <f t="shared" si="2"/>
        <v>0</v>
      </c>
      <c r="AB15" s="280">
        <f t="shared" si="2"/>
        <v>0</v>
      </c>
      <c r="AC15" s="280">
        <f t="shared" si="2"/>
        <v>0</v>
      </c>
      <c r="AD15" s="280">
        <f t="shared" si="2"/>
        <v>0</v>
      </c>
      <c r="AE15" s="280">
        <f t="shared" si="2"/>
        <v>0</v>
      </c>
      <c r="AF15" s="280">
        <f t="shared" si="2"/>
        <v>0</v>
      </c>
      <c r="AG15" s="280">
        <f t="shared" si="2"/>
        <v>0</v>
      </c>
      <c r="AH15" s="280">
        <f t="shared" si="2"/>
        <v>0</v>
      </c>
      <c r="AI15" s="280">
        <f t="shared" si="2"/>
        <v>0</v>
      </c>
      <c r="AJ15" s="280">
        <f t="shared" si="2"/>
        <v>0</v>
      </c>
      <c r="AK15" s="280">
        <f t="shared" si="2"/>
        <v>0</v>
      </c>
      <c r="AL15" s="280">
        <f t="shared" si="2"/>
        <v>0</v>
      </c>
      <c r="AM15" s="280">
        <f t="shared" si="2"/>
        <v>0</v>
      </c>
      <c r="AN15" s="280">
        <f t="shared" si="2"/>
        <v>0</v>
      </c>
      <c r="AO15" s="280">
        <f t="shared" si="2"/>
        <v>0</v>
      </c>
      <c r="AP15" s="280">
        <f t="shared" si="2"/>
        <v>0</v>
      </c>
      <c r="AQ15" s="280">
        <f t="shared" si="2"/>
        <v>0</v>
      </c>
      <c r="AR15" s="280">
        <f t="shared" si="2"/>
        <v>0</v>
      </c>
    </row>
    <row r="16" spans="1:44" ht="14.25">
      <c r="A16" s="104"/>
      <c r="B16" s="207"/>
      <c r="C16" s="207"/>
      <c r="D16" s="207"/>
      <c r="E16" s="207"/>
      <c r="F16" s="207"/>
      <c r="G16" s="335"/>
      <c r="H16" s="207"/>
      <c r="I16" s="207"/>
      <c r="J16" s="386"/>
      <c r="K16" s="386"/>
      <c r="L16" s="207"/>
      <c r="M16" s="207"/>
      <c r="N16" s="207"/>
      <c r="O16" s="207"/>
      <c r="P16" s="278"/>
      <c r="Q16" s="278"/>
      <c r="R16" s="278"/>
      <c r="S16" s="278"/>
      <c r="T16" s="244"/>
      <c r="U16" s="385"/>
      <c r="V16" s="385"/>
      <c r="W16" s="244"/>
      <c r="X16" s="244"/>
      <c r="Y16" s="244"/>
      <c r="Z16" s="244"/>
      <c r="AA16" s="244"/>
      <c r="AB16" s="244"/>
      <c r="AC16" s="278"/>
      <c r="AD16" s="278"/>
      <c r="AE16" s="278"/>
      <c r="AF16" s="244"/>
      <c r="AG16" s="244"/>
      <c r="AH16" s="244"/>
      <c r="AI16" s="278"/>
      <c r="AJ16" s="278"/>
      <c r="AK16" s="278"/>
      <c r="AL16" s="244"/>
      <c r="AM16" s="244"/>
      <c r="AN16" s="244"/>
      <c r="AO16" s="278"/>
      <c r="AP16" s="278"/>
      <c r="AQ16" s="278"/>
      <c r="AR16" s="244"/>
    </row>
    <row r="17" spans="1:44" ht="14.25">
      <c r="A17" s="104"/>
      <c r="B17" s="207"/>
      <c r="C17" s="207"/>
      <c r="D17" s="207"/>
      <c r="E17" s="207"/>
      <c r="F17" s="207"/>
      <c r="G17" s="335"/>
      <c r="H17" s="207"/>
      <c r="I17" s="207"/>
      <c r="J17" s="386"/>
      <c r="K17" s="386"/>
      <c r="L17" s="207"/>
      <c r="M17" s="207"/>
      <c r="N17" s="207"/>
      <c r="O17" s="207"/>
      <c r="P17" s="278"/>
      <c r="Q17" s="278"/>
      <c r="R17" s="278"/>
      <c r="S17" s="278"/>
      <c r="T17" s="244"/>
      <c r="U17" s="385"/>
      <c r="V17" s="385"/>
      <c r="W17" s="244"/>
      <c r="X17" s="244"/>
      <c r="Y17" s="244"/>
      <c r="Z17" s="244"/>
      <c r="AA17" s="244"/>
      <c r="AB17" s="244"/>
      <c r="AC17" s="278"/>
      <c r="AD17" s="278"/>
      <c r="AE17" s="278"/>
      <c r="AF17" s="244"/>
      <c r="AG17" s="244"/>
      <c r="AH17" s="244"/>
      <c r="AI17" s="278"/>
      <c r="AJ17" s="278"/>
      <c r="AK17" s="278"/>
      <c r="AL17" s="244"/>
      <c r="AM17" s="244"/>
      <c r="AN17" s="244"/>
      <c r="AO17" s="278"/>
      <c r="AP17" s="278"/>
      <c r="AQ17" s="278"/>
      <c r="AR17" s="244"/>
    </row>
    <row r="18" spans="1:44" s="33" customFormat="1" ht="14.25">
      <c r="A18" s="232"/>
      <c r="B18" s="207" t="s">
        <v>226</v>
      </c>
      <c r="C18" s="207"/>
      <c r="D18" s="207"/>
      <c r="E18" s="207"/>
      <c r="F18" s="207"/>
      <c r="G18" s="335"/>
      <c r="H18" s="207"/>
      <c r="I18" s="207"/>
      <c r="J18" s="386"/>
      <c r="K18" s="386"/>
      <c r="L18" s="207"/>
      <c r="M18" s="207"/>
      <c r="N18" s="207"/>
      <c r="O18" s="207"/>
      <c r="P18" s="246"/>
      <c r="Q18" s="246"/>
      <c r="R18" s="246"/>
      <c r="S18" s="246"/>
      <c r="T18" s="207"/>
      <c r="U18" s="386"/>
      <c r="V18" s="386"/>
      <c r="W18" s="207"/>
      <c r="X18" s="248"/>
      <c r="Y18" s="248"/>
      <c r="Z18" s="248"/>
      <c r="AA18" s="207"/>
      <c r="AB18" s="207"/>
      <c r="AC18" s="207"/>
      <c r="AD18" s="207"/>
      <c r="AE18" s="207"/>
      <c r="AF18" s="248"/>
      <c r="AG18" s="207"/>
      <c r="AH18" s="207"/>
      <c r="AI18" s="207"/>
      <c r="AJ18" s="207"/>
      <c r="AK18" s="207"/>
      <c r="AL18" s="248"/>
      <c r="AM18" s="207"/>
      <c r="AN18" s="207"/>
      <c r="AO18" s="207"/>
      <c r="AP18" s="207"/>
      <c r="AQ18" s="207"/>
      <c r="AR18" s="248"/>
    </row>
    <row r="19" spans="1:44" s="33" customFormat="1" ht="14.25">
      <c r="A19" s="232"/>
      <c r="B19" s="207" t="s">
        <v>227</v>
      </c>
      <c r="C19" s="207"/>
      <c r="D19" s="207"/>
      <c r="E19" s="207"/>
      <c r="F19" s="207"/>
      <c r="G19" s="335"/>
      <c r="H19" s="207"/>
      <c r="I19" s="207"/>
      <c r="J19" s="386"/>
      <c r="K19" s="386"/>
      <c r="L19" s="207"/>
      <c r="M19" s="207"/>
      <c r="N19" s="207"/>
      <c r="O19" s="207"/>
      <c r="P19" s="246"/>
      <c r="Q19" s="246"/>
      <c r="R19" s="246"/>
      <c r="S19" s="246"/>
      <c r="T19" s="207"/>
      <c r="U19" s="386"/>
      <c r="V19" s="386"/>
      <c r="W19" s="207"/>
      <c r="X19" s="248"/>
      <c r="Y19" s="248"/>
      <c r="Z19" s="248"/>
      <c r="AA19" s="207"/>
      <c r="AB19" s="207"/>
      <c r="AC19" s="207"/>
      <c r="AD19" s="207"/>
      <c r="AE19" s="207"/>
      <c r="AF19" s="248"/>
      <c r="AG19" s="207"/>
      <c r="AH19" s="207"/>
      <c r="AI19" s="207"/>
      <c r="AJ19" s="207"/>
      <c r="AK19" s="207"/>
      <c r="AL19" s="248"/>
      <c r="AM19" s="207"/>
      <c r="AN19" s="207"/>
      <c r="AO19" s="207"/>
      <c r="AP19" s="207"/>
      <c r="AQ19" s="207"/>
      <c r="AR19" s="248"/>
    </row>
    <row r="20" spans="1:44" ht="14.25">
      <c r="A20" s="104">
        <v>1</v>
      </c>
      <c r="B20" s="104"/>
      <c r="C20" s="243"/>
      <c r="D20" s="243"/>
      <c r="E20" s="243"/>
      <c r="F20" s="243"/>
      <c r="G20" s="337"/>
      <c r="H20" s="243"/>
      <c r="I20" s="243"/>
      <c r="J20" s="377"/>
      <c r="K20" s="377"/>
      <c r="L20" s="243"/>
      <c r="M20" s="243"/>
      <c r="N20" s="243"/>
      <c r="O20" s="280">
        <f>I20+L20+M20+N20</f>
        <v>0</v>
      </c>
      <c r="P20" s="31"/>
      <c r="Q20" s="31"/>
      <c r="R20" s="31"/>
      <c r="S20" s="31"/>
      <c r="T20" s="31"/>
      <c r="U20" s="379"/>
      <c r="V20" s="379"/>
      <c r="W20" s="275"/>
      <c r="X20" s="280"/>
      <c r="Y20" s="280"/>
      <c r="Z20" s="280">
        <f>T20+W20+X20+Y20</f>
        <v>0</v>
      </c>
      <c r="AA20" s="280">
        <f>C20-P20</f>
        <v>0</v>
      </c>
      <c r="AB20" s="280">
        <f>I20-T20</f>
        <v>0</v>
      </c>
      <c r="AC20" s="280">
        <f aca="true" t="shared" si="3" ref="AC20:AE22">L20-W20</f>
        <v>0</v>
      </c>
      <c r="AD20" s="280">
        <f t="shared" si="3"/>
        <v>0</v>
      </c>
      <c r="AE20" s="280">
        <f t="shared" si="3"/>
        <v>0</v>
      </c>
      <c r="AF20" s="280">
        <f>AB20+AC20+AD20+AE20</f>
        <v>0</v>
      </c>
      <c r="AG20" s="248"/>
      <c r="AH20" s="278"/>
      <c r="AI20" s="278"/>
      <c r="AJ20" s="278"/>
      <c r="AK20" s="278"/>
      <c r="AL20" s="280">
        <f>AH20+AI20+AJ20+AK20</f>
        <v>0</v>
      </c>
      <c r="AM20" s="248"/>
      <c r="AN20" s="278"/>
      <c r="AO20" s="278"/>
      <c r="AP20" s="278"/>
      <c r="AQ20" s="278"/>
      <c r="AR20" s="280">
        <f>AN20+AO20+AP20+AQ20</f>
        <v>0</v>
      </c>
    </row>
    <row r="21" spans="1:44" ht="14.25">
      <c r="A21" s="104">
        <v>2</v>
      </c>
      <c r="B21" s="104"/>
      <c r="C21" s="243"/>
      <c r="D21" s="243"/>
      <c r="E21" s="243"/>
      <c r="F21" s="243"/>
      <c r="G21" s="337"/>
      <c r="H21" s="243"/>
      <c r="I21" s="243"/>
      <c r="J21" s="377"/>
      <c r="K21" s="377"/>
      <c r="L21" s="243"/>
      <c r="M21" s="243"/>
      <c r="N21" s="243"/>
      <c r="O21" s="280">
        <f>I21+L21+M21+N21</f>
        <v>0</v>
      </c>
      <c r="P21" s="31"/>
      <c r="Q21" s="31"/>
      <c r="R21" s="31"/>
      <c r="S21" s="31"/>
      <c r="T21" s="31"/>
      <c r="U21" s="379"/>
      <c r="V21" s="379"/>
      <c r="W21" s="275"/>
      <c r="X21" s="280"/>
      <c r="Y21" s="280"/>
      <c r="Z21" s="280">
        <f>T21+W21+X21+Y21</f>
        <v>0</v>
      </c>
      <c r="AA21" s="280">
        <f>C21-P21</f>
        <v>0</v>
      </c>
      <c r="AB21" s="280">
        <f>I21-T21</f>
        <v>0</v>
      </c>
      <c r="AC21" s="280">
        <f t="shared" si="3"/>
        <v>0</v>
      </c>
      <c r="AD21" s="280">
        <f t="shared" si="3"/>
        <v>0</v>
      </c>
      <c r="AE21" s="280">
        <f t="shared" si="3"/>
        <v>0</v>
      </c>
      <c r="AF21" s="280">
        <f>AB21+AC21+AD21+AE21</f>
        <v>0</v>
      </c>
      <c r="AG21" s="248"/>
      <c r="AH21" s="278"/>
      <c r="AI21" s="278"/>
      <c r="AJ21" s="278"/>
      <c r="AK21" s="278"/>
      <c r="AL21" s="280">
        <f>AH21+AI21+AJ21+AK21</f>
        <v>0</v>
      </c>
      <c r="AM21" s="248"/>
      <c r="AN21" s="278"/>
      <c r="AO21" s="278"/>
      <c r="AP21" s="278"/>
      <c r="AQ21" s="278"/>
      <c r="AR21" s="280">
        <f>AN21+AO21+AP21+AQ21</f>
        <v>0</v>
      </c>
    </row>
    <row r="22" spans="1:44" ht="14.25">
      <c r="A22" s="104">
        <v>3</v>
      </c>
      <c r="B22" s="104"/>
      <c r="C22" s="243"/>
      <c r="D22" s="243"/>
      <c r="E22" s="243"/>
      <c r="F22" s="243"/>
      <c r="G22" s="337"/>
      <c r="H22" s="243"/>
      <c r="I22" s="243"/>
      <c r="J22" s="377"/>
      <c r="K22" s="377"/>
      <c r="L22" s="243"/>
      <c r="M22" s="243"/>
      <c r="N22" s="243"/>
      <c r="O22" s="280">
        <f>I22+L22+M22+N22</f>
        <v>0</v>
      </c>
      <c r="P22" s="104"/>
      <c r="Q22" s="104"/>
      <c r="R22" s="104"/>
      <c r="S22" s="104"/>
      <c r="T22" s="104"/>
      <c r="U22" s="378"/>
      <c r="V22" s="378"/>
      <c r="W22" s="275"/>
      <c r="X22" s="280"/>
      <c r="Y22" s="280"/>
      <c r="Z22" s="280">
        <f>T22+W22+X22+Y22</f>
        <v>0</v>
      </c>
      <c r="AA22" s="280">
        <f>C22-P22</f>
        <v>0</v>
      </c>
      <c r="AB22" s="280">
        <f>I22-T22</f>
        <v>0</v>
      </c>
      <c r="AC22" s="280">
        <f t="shared" si="3"/>
        <v>0</v>
      </c>
      <c r="AD22" s="280">
        <f t="shared" si="3"/>
        <v>0</v>
      </c>
      <c r="AE22" s="280">
        <f t="shared" si="3"/>
        <v>0</v>
      </c>
      <c r="AF22" s="280">
        <f>AB22+AC22+AD22+AE22</f>
        <v>0</v>
      </c>
      <c r="AG22" s="248"/>
      <c r="AH22" s="278"/>
      <c r="AI22" s="278"/>
      <c r="AJ22" s="278"/>
      <c r="AK22" s="278"/>
      <c r="AL22" s="280">
        <f>AH22+AI22+AJ22+AK22</f>
        <v>0</v>
      </c>
      <c r="AM22" s="248"/>
      <c r="AN22" s="278"/>
      <c r="AO22" s="278"/>
      <c r="AP22" s="278"/>
      <c r="AQ22" s="278"/>
      <c r="AR22" s="280">
        <f>AN22+AO22+AP22+AQ22</f>
        <v>0</v>
      </c>
    </row>
    <row r="23" spans="1:44" s="333" customFormat="1" ht="13.5">
      <c r="A23" s="278"/>
      <c r="B23" s="251" t="s">
        <v>263</v>
      </c>
      <c r="C23" s="280">
        <f>SUM(C20:C22)</f>
        <v>0</v>
      </c>
      <c r="D23" s="280" t="s">
        <v>1</v>
      </c>
      <c r="E23" s="280" t="s">
        <v>1</v>
      </c>
      <c r="F23" s="280" t="s">
        <v>1</v>
      </c>
      <c r="G23" s="280" t="s">
        <v>1</v>
      </c>
      <c r="H23" s="280" t="s">
        <v>1</v>
      </c>
      <c r="I23" s="280">
        <f aca="true" t="shared" si="4" ref="I23:P23">SUM(I20:I22)</f>
        <v>0</v>
      </c>
      <c r="J23" s="380">
        <f t="shared" si="4"/>
        <v>0</v>
      </c>
      <c r="K23" s="380">
        <f t="shared" si="4"/>
        <v>0</v>
      </c>
      <c r="L23" s="280">
        <f t="shared" si="4"/>
        <v>0</v>
      </c>
      <c r="M23" s="280">
        <f t="shared" si="4"/>
        <v>0</v>
      </c>
      <c r="N23" s="280">
        <f t="shared" si="4"/>
        <v>0</v>
      </c>
      <c r="O23" s="280">
        <f t="shared" si="4"/>
        <v>0</v>
      </c>
      <c r="P23" s="280">
        <f t="shared" si="4"/>
        <v>0</v>
      </c>
      <c r="Q23" s="280" t="s">
        <v>1</v>
      </c>
      <c r="R23" s="280" t="s">
        <v>1</v>
      </c>
      <c r="S23" s="280" t="s">
        <v>1</v>
      </c>
      <c r="T23" s="280">
        <f aca="true" t="shared" si="5" ref="T23:AR23">SUM(T20:T22)</f>
        <v>0</v>
      </c>
      <c r="U23" s="380">
        <f t="shared" si="5"/>
        <v>0</v>
      </c>
      <c r="V23" s="380">
        <f t="shared" si="5"/>
        <v>0</v>
      </c>
      <c r="W23" s="280">
        <f t="shared" si="5"/>
        <v>0</v>
      </c>
      <c r="X23" s="280">
        <f t="shared" si="5"/>
        <v>0</v>
      </c>
      <c r="Y23" s="280">
        <f t="shared" si="5"/>
        <v>0</v>
      </c>
      <c r="Z23" s="280">
        <f t="shared" si="5"/>
        <v>0</v>
      </c>
      <c r="AA23" s="280">
        <f t="shared" si="5"/>
        <v>0</v>
      </c>
      <c r="AB23" s="280">
        <f t="shared" si="5"/>
        <v>0</v>
      </c>
      <c r="AC23" s="280">
        <f t="shared" si="5"/>
        <v>0</v>
      </c>
      <c r="AD23" s="280">
        <f t="shared" si="5"/>
        <v>0</v>
      </c>
      <c r="AE23" s="280">
        <f t="shared" si="5"/>
        <v>0</v>
      </c>
      <c r="AF23" s="280">
        <f t="shared" si="5"/>
        <v>0</v>
      </c>
      <c r="AG23" s="280">
        <f t="shared" si="5"/>
        <v>0</v>
      </c>
      <c r="AH23" s="280">
        <f t="shared" si="5"/>
        <v>0</v>
      </c>
      <c r="AI23" s="280">
        <f t="shared" si="5"/>
        <v>0</v>
      </c>
      <c r="AJ23" s="280">
        <f t="shared" si="5"/>
        <v>0</v>
      </c>
      <c r="AK23" s="280">
        <f t="shared" si="5"/>
        <v>0</v>
      </c>
      <c r="AL23" s="280">
        <f t="shared" si="5"/>
        <v>0</v>
      </c>
      <c r="AM23" s="280">
        <f t="shared" si="5"/>
        <v>0</v>
      </c>
      <c r="AN23" s="280">
        <f t="shared" si="5"/>
        <v>0</v>
      </c>
      <c r="AO23" s="280">
        <f t="shared" si="5"/>
        <v>0</v>
      </c>
      <c r="AP23" s="280">
        <f t="shared" si="5"/>
        <v>0</v>
      </c>
      <c r="AQ23" s="280">
        <f t="shared" si="5"/>
        <v>0</v>
      </c>
      <c r="AR23" s="280">
        <f t="shared" si="5"/>
        <v>0</v>
      </c>
    </row>
    <row r="24" spans="1:44" s="333" customFormat="1" ht="13.5">
      <c r="A24" s="278"/>
      <c r="B24" s="251"/>
      <c r="C24" s="251"/>
      <c r="D24" s="251"/>
      <c r="E24" s="251"/>
      <c r="F24" s="251"/>
      <c r="G24" s="338"/>
      <c r="H24" s="251"/>
      <c r="I24" s="251"/>
      <c r="J24" s="405"/>
      <c r="K24" s="405"/>
      <c r="L24" s="251"/>
      <c r="M24" s="251"/>
      <c r="N24" s="251"/>
      <c r="O24" s="251"/>
      <c r="P24" s="280"/>
      <c r="Q24" s="280"/>
      <c r="R24" s="280"/>
      <c r="S24" s="280"/>
      <c r="T24" s="280"/>
      <c r="U24" s="380"/>
      <c r="V24" s="380"/>
      <c r="W24" s="280"/>
      <c r="X24" s="280"/>
      <c r="Y24" s="280"/>
      <c r="Z24" s="280"/>
      <c r="AA24" s="280"/>
      <c r="AB24" s="280"/>
      <c r="AC24" s="280"/>
      <c r="AD24" s="280"/>
      <c r="AE24" s="280"/>
      <c r="AF24" s="280"/>
      <c r="AG24" s="280"/>
      <c r="AH24" s="280"/>
      <c r="AI24" s="280"/>
      <c r="AJ24" s="280"/>
      <c r="AK24" s="280"/>
      <c r="AL24" s="280"/>
      <c r="AM24" s="280"/>
      <c r="AN24" s="280"/>
      <c r="AO24" s="280"/>
      <c r="AP24" s="280"/>
      <c r="AQ24" s="280"/>
      <c r="AR24" s="280"/>
    </row>
    <row r="25" spans="1:44" s="333" customFormat="1" ht="13.5">
      <c r="A25" s="278"/>
      <c r="B25" s="251"/>
      <c r="C25" s="251"/>
      <c r="D25" s="251"/>
      <c r="E25" s="251"/>
      <c r="F25" s="251"/>
      <c r="G25" s="338"/>
      <c r="H25" s="251"/>
      <c r="I25" s="251"/>
      <c r="J25" s="405"/>
      <c r="K25" s="405"/>
      <c r="L25" s="251"/>
      <c r="M25" s="251"/>
      <c r="N25" s="251"/>
      <c r="O25" s="251"/>
      <c r="P25" s="280"/>
      <c r="Q25" s="280"/>
      <c r="R25" s="280"/>
      <c r="S25" s="280"/>
      <c r="T25" s="280"/>
      <c r="U25" s="380"/>
      <c r="V25" s="380"/>
      <c r="W25" s="280"/>
      <c r="X25" s="280"/>
      <c r="Y25" s="280"/>
      <c r="Z25" s="280"/>
      <c r="AA25" s="280"/>
      <c r="AB25" s="280"/>
      <c r="AC25" s="280"/>
      <c r="AD25" s="280"/>
      <c r="AE25" s="280"/>
      <c r="AF25" s="280"/>
      <c r="AG25" s="280"/>
      <c r="AH25" s="280"/>
      <c r="AI25" s="280"/>
      <c r="AJ25" s="280"/>
      <c r="AK25" s="280"/>
      <c r="AL25" s="280"/>
      <c r="AM25" s="280"/>
      <c r="AN25" s="280"/>
      <c r="AO25" s="280"/>
      <c r="AP25" s="280"/>
      <c r="AQ25" s="280"/>
      <c r="AR25" s="280"/>
    </row>
    <row r="26" spans="1:44" s="33" customFormat="1" ht="14.25">
      <c r="A26" s="232"/>
      <c r="B26" s="207" t="s">
        <v>226</v>
      </c>
      <c r="C26" s="207"/>
      <c r="D26" s="207"/>
      <c r="E26" s="207"/>
      <c r="F26" s="207"/>
      <c r="G26" s="335"/>
      <c r="H26" s="207"/>
      <c r="I26" s="207"/>
      <c r="J26" s="386"/>
      <c r="K26" s="386"/>
      <c r="L26" s="207"/>
      <c r="M26" s="207"/>
      <c r="N26" s="207"/>
      <c r="O26" s="207"/>
      <c r="P26" s="246"/>
      <c r="Q26" s="246"/>
      <c r="R26" s="246"/>
      <c r="S26" s="246"/>
      <c r="T26" s="207"/>
      <c r="U26" s="386"/>
      <c r="V26" s="386"/>
      <c r="W26" s="207"/>
      <c r="X26" s="248"/>
      <c r="Y26" s="248"/>
      <c r="Z26" s="248"/>
      <c r="AA26" s="207"/>
      <c r="AB26" s="207"/>
      <c r="AC26" s="207"/>
      <c r="AD26" s="207"/>
      <c r="AE26" s="207"/>
      <c r="AF26" s="248"/>
      <c r="AG26" s="207"/>
      <c r="AH26" s="207"/>
      <c r="AI26" s="207"/>
      <c r="AJ26" s="207"/>
      <c r="AK26" s="207"/>
      <c r="AL26" s="248"/>
      <c r="AM26" s="207"/>
      <c r="AN26" s="207"/>
      <c r="AO26" s="207"/>
      <c r="AP26" s="207"/>
      <c r="AQ26" s="207"/>
      <c r="AR26" s="248"/>
    </row>
    <row r="27" spans="1:44" s="33" customFormat="1" ht="14.25">
      <c r="A27" s="232"/>
      <c r="B27" s="207" t="s">
        <v>227</v>
      </c>
      <c r="C27" s="207"/>
      <c r="D27" s="207"/>
      <c r="E27" s="207"/>
      <c r="F27" s="207"/>
      <c r="G27" s="335"/>
      <c r="H27" s="207"/>
      <c r="I27" s="207"/>
      <c r="J27" s="386"/>
      <c r="K27" s="386"/>
      <c r="L27" s="207"/>
      <c r="M27" s="207"/>
      <c r="N27" s="207"/>
      <c r="O27" s="207"/>
      <c r="P27" s="246"/>
      <c r="Q27" s="246"/>
      <c r="R27" s="246"/>
      <c r="S27" s="246"/>
      <c r="T27" s="207"/>
      <c r="U27" s="386"/>
      <c r="V27" s="386"/>
      <c r="W27" s="207"/>
      <c r="X27" s="248"/>
      <c r="Y27" s="248"/>
      <c r="Z27" s="248"/>
      <c r="AA27" s="207"/>
      <c r="AB27" s="207"/>
      <c r="AC27" s="207"/>
      <c r="AD27" s="207"/>
      <c r="AE27" s="207"/>
      <c r="AF27" s="248"/>
      <c r="AG27" s="207"/>
      <c r="AH27" s="207"/>
      <c r="AI27" s="207"/>
      <c r="AJ27" s="207"/>
      <c r="AK27" s="207"/>
      <c r="AL27" s="248"/>
      <c r="AM27" s="207"/>
      <c r="AN27" s="207"/>
      <c r="AO27" s="207"/>
      <c r="AP27" s="207"/>
      <c r="AQ27" s="207"/>
      <c r="AR27" s="248"/>
    </row>
    <row r="28" spans="1:44" ht="14.25">
      <c r="A28" s="104">
        <v>1</v>
      </c>
      <c r="B28" s="104"/>
      <c r="C28" s="243"/>
      <c r="D28" s="243"/>
      <c r="E28" s="243"/>
      <c r="F28" s="243"/>
      <c r="G28" s="337"/>
      <c r="H28" s="243"/>
      <c r="I28" s="243"/>
      <c r="J28" s="377"/>
      <c r="K28" s="377"/>
      <c r="L28" s="243"/>
      <c r="M28" s="243"/>
      <c r="N28" s="243"/>
      <c r="O28" s="280">
        <f>I28+L28+M28+N28</f>
        <v>0</v>
      </c>
      <c r="P28" s="31"/>
      <c r="Q28" s="31"/>
      <c r="R28" s="31"/>
      <c r="S28" s="31"/>
      <c r="T28" s="31"/>
      <c r="U28" s="379"/>
      <c r="V28" s="379"/>
      <c r="W28" s="275"/>
      <c r="X28" s="280"/>
      <c r="Y28" s="280"/>
      <c r="Z28" s="280">
        <f>T28+W28+X28+Y28</f>
        <v>0</v>
      </c>
      <c r="AA28" s="280">
        <f>C28-P28</f>
        <v>0</v>
      </c>
      <c r="AB28" s="280">
        <f>I28-T28</f>
        <v>0</v>
      </c>
      <c r="AC28" s="280">
        <f aca="true" t="shared" si="6" ref="AC28:AE30">L28-W28</f>
        <v>0</v>
      </c>
      <c r="AD28" s="280">
        <f t="shared" si="6"/>
        <v>0</v>
      </c>
      <c r="AE28" s="280">
        <f t="shared" si="6"/>
        <v>0</v>
      </c>
      <c r="AF28" s="280">
        <f>AB28+AC28+AD28+AE28</f>
        <v>0</v>
      </c>
      <c r="AG28" s="248"/>
      <c r="AH28" s="278"/>
      <c r="AI28" s="278"/>
      <c r="AJ28" s="278"/>
      <c r="AK28" s="278"/>
      <c r="AL28" s="280">
        <f>AH28+AI28+AJ28+AK28</f>
        <v>0</v>
      </c>
      <c r="AM28" s="248"/>
      <c r="AN28" s="278"/>
      <c r="AO28" s="278"/>
      <c r="AP28" s="278"/>
      <c r="AQ28" s="278"/>
      <c r="AR28" s="280">
        <f>AN28+AO28+AP28+AQ28</f>
        <v>0</v>
      </c>
    </row>
    <row r="29" spans="1:44" ht="14.25">
      <c r="A29" s="104">
        <v>2</v>
      </c>
      <c r="B29" s="104"/>
      <c r="C29" s="243"/>
      <c r="D29" s="243"/>
      <c r="E29" s="243"/>
      <c r="F29" s="243"/>
      <c r="G29" s="337"/>
      <c r="H29" s="243"/>
      <c r="I29" s="243"/>
      <c r="J29" s="377"/>
      <c r="K29" s="377"/>
      <c r="L29" s="243"/>
      <c r="M29" s="243"/>
      <c r="N29" s="243"/>
      <c r="O29" s="280">
        <f>I29+L29+M29+N29</f>
        <v>0</v>
      </c>
      <c r="P29" s="31"/>
      <c r="Q29" s="31"/>
      <c r="R29" s="31"/>
      <c r="S29" s="31"/>
      <c r="T29" s="31"/>
      <c r="U29" s="379"/>
      <c r="V29" s="379"/>
      <c r="W29" s="275"/>
      <c r="X29" s="280"/>
      <c r="Y29" s="280"/>
      <c r="Z29" s="280">
        <f>T29+W29+X29+Y29</f>
        <v>0</v>
      </c>
      <c r="AA29" s="280">
        <f>C29-P29</f>
        <v>0</v>
      </c>
      <c r="AB29" s="280">
        <f>I29-T29</f>
        <v>0</v>
      </c>
      <c r="AC29" s="280">
        <f t="shared" si="6"/>
        <v>0</v>
      </c>
      <c r="AD29" s="280">
        <f t="shared" si="6"/>
        <v>0</v>
      </c>
      <c r="AE29" s="280">
        <f t="shared" si="6"/>
        <v>0</v>
      </c>
      <c r="AF29" s="280">
        <f>AB29+AC29+AD29+AE29</f>
        <v>0</v>
      </c>
      <c r="AG29" s="248"/>
      <c r="AH29" s="278"/>
      <c r="AI29" s="278"/>
      <c r="AJ29" s="278"/>
      <c r="AK29" s="278"/>
      <c r="AL29" s="280">
        <f>AH29+AI29+AJ29+AK29</f>
        <v>0</v>
      </c>
      <c r="AM29" s="248"/>
      <c r="AN29" s="278"/>
      <c r="AO29" s="278"/>
      <c r="AP29" s="278"/>
      <c r="AQ29" s="278"/>
      <c r="AR29" s="280">
        <f>AN29+AO29+AP29+AQ29</f>
        <v>0</v>
      </c>
    </row>
    <row r="30" spans="1:44" ht="14.25">
      <c r="A30" s="104">
        <v>3</v>
      </c>
      <c r="B30" s="104"/>
      <c r="C30" s="243"/>
      <c r="D30" s="243"/>
      <c r="E30" s="243"/>
      <c r="F30" s="243"/>
      <c r="G30" s="337"/>
      <c r="H30" s="243"/>
      <c r="I30" s="243"/>
      <c r="J30" s="377"/>
      <c r="K30" s="377"/>
      <c r="L30" s="243"/>
      <c r="M30" s="243"/>
      <c r="N30" s="243"/>
      <c r="O30" s="280">
        <f>I30+L30+M30+N30</f>
        <v>0</v>
      </c>
      <c r="P30" s="104"/>
      <c r="Q30" s="104"/>
      <c r="R30" s="104"/>
      <c r="S30" s="104"/>
      <c r="T30" s="104"/>
      <c r="U30" s="378"/>
      <c r="V30" s="378"/>
      <c r="W30" s="275"/>
      <c r="X30" s="280"/>
      <c r="Y30" s="280"/>
      <c r="Z30" s="280">
        <f>T30+W30+X30+Y30</f>
        <v>0</v>
      </c>
      <c r="AA30" s="280">
        <f>C30-P30</f>
        <v>0</v>
      </c>
      <c r="AB30" s="280">
        <f>I30-T30</f>
        <v>0</v>
      </c>
      <c r="AC30" s="280">
        <f t="shared" si="6"/>
        <v>0</v>
      </c>
      <c r="AD30" s="280">
        <f t="shared" si="6"/>
        <v>0</v>
      </c>
      <c r="AE30" s="280">
        <f t="shared" si="6"/>
        <v>0</v>
      </c>
      <c r="AF30" s="280">
        <f>AB30+AC30+AD30+AE30</f>
        <v>0</v>
      </c>
      <c r="AG30" s="248"/>
      <c r="AH30" s="278"/>
      <c r="AI30" s="278"/>
      <c r="AJ30" s="278"/>
      <c r="AK30" s="278"/>
      <c r="AL30" s="280">
        <f>AH30+AI30+AJ30+AK30</f>
        <v>0</v>
      </c>
      <c r="AM30" s="248"/>
      <c r="AN30" s="278"/>
      <c r="AO30" s="278"/>
      <c r="AP30" s="278"/>
      <c r="AQ30" s="278"/>
      <c r="AR30" s="280">
        <f>AN30+AO30+AP30+AQ30</f>
        <v>0</v>
      </c>
    </row>
    <row r="31" spans="1:44" s="333" customFormat="1" ht="13.5">
      <c r="A31" s="278"/>
      <c r="B31" s="251" t="s">
        <v>263</v>
      </c>
      <c r="C31" s="280">
        <f>SUM(C28:C30)</f>
        <v>0</v>
      </c>
      <c r="D31" s="280" t="s">
        <v>1</v>
      </c>
      <c r="E31" s="280" t="s">
        <v>1</v>
      </c>
      <c r="F31" s="280" t="s">
        <v>1</v>
      </c>
      <c r="G31" s="280" t="s">
        <v>1</v>
      </c>
      <c r="H31" s="280" t="s">
        <v>1</v>
      </c>
      <c r="I31" s="280">
        <f aca="true" t="shared" si="7" ref="I31:P31">SUM(I28:I30)</f>
        <v>0</v>
      </c>
      <c r="J31" s="380">
        <f t="shared" si="7"/>
        <v>0</v>
      </c>
      <c r="K31" s="380">
        <f t="shared" si="7"/>
        <v>0</v>
      </c>
      <c r="L31" s="280">
        <f t="shared" si="7"/>
        <v>0</v>
      </c>
      <c r="M31" s="280">
        <f t="shared" si="7"/>
        <v>0</v>
      </c>
      <c r="N31" s="280">
        <f t="shared" si="7"/>
        <v>0</v>
      </c>
      <c r="O31" s="280">
        <f t="shared" si="7"/>
        <v>0</v>
      </c>
      <c r="P31" s="280">
        <f t="shared" si="7"/>
        <v>0</v>
      </c>
      <c r="Q31" s="280" t="s">
        <v>1</v>
      </c>
      <c r="R31" s="280" t="s">
        <v>1</v>
      </c>
      <c r="S31" s="280" t="s">
        <v>1</v>
      </c>
      <c r="T31" s="280">
        <f aca="true" t="shared" si="8" ref="T31:AR31">SUM(T28:T30)</f>
        <v>0</v>
      </c>
      <c r="U31" s="380">
        <f t="shared" si="8"/>
        <v>0</v>
      </c>
      <c r="V31" s="380">
        <f t="shared" si="8"/>
        <v>0</v>
      </c>
      <c r="W31" s="280">
        <f t="shared" si="8"/>
        <v>0</v>
      </c>
      <c r="X31" s="280">
        <f t="shared" si="8"/>
        <v>0</v>
      </c>
      <c r="Y31" s="280">
        <f t="shared" si="8"/>
        <v>0</v>
      </c>
      <c r="Z31" s="280">
        <f t="shared" si="8"/>
        <v>0</v>
      </c>
      <c r="AA31" s="280">
        <f t="shared" si="8"/>
        <v>0</v>
      </c>
      <c r="AB31" s="280">
        <f t="shared" si="8"/>
        <v>0</v>
      </c>
      <c r="AC31" s="280">
        <f t="shared" si="8"/>
        <v>0</v>
      </c>
      <c r="AD31" s="280">
        <f t="shared" si="8"/>
        <v>0</v>
      </c>
      <c r="AE31" s="280">
        <f t="shared" si="8"/>
        <v>0</v>
      </c>
      <c r="AF31" s="280">
        <f t="shared" si="8"/>
        <v>0</v>
      </c>
      <c r="AG31" s="280">
        <f t="shared" si="8"/>
        <v>0</v>
      </c>
      <c r="AH31" s="280">
        <f t="shared" si="8"/>
        <v>0</v>
      </c>
      <c r="AI31" s="280">
        <f t="shared" si="8"/>
        <v>0</v>
      </c>
      <c r="AJ31" s="280">
        <f t="shared" si="8"/>
        <v>0</v>
      </c>
      <c r="AK31" s="280">
        <f t="shared" si="8"/>
        <v>0</v>
      </c>
      <c r="AL31" s="280">
        <f t="shared" si="8"/>
        <v>0</v>
      </c>
      <c r="AM31" s="280">
        <f t="shared" si="8"/>
        <v>0</v>
      </c>
      <c r="AN31" s="280">
        <f t="shared" si="8"/>
        <v>0</v>
      </c>
      <c r="AO31" s="280">
        <f t="shared" si="8"/>
        <v>0</v>
      </c>
      <c r="AP31" s="280">
        <f t="shared" si="8"/>
        <v>0</v>
      </c>
      <c r="AQ31" s="280">
        <f t="shared" si="8"/>
        <v>0</v>
      </c>
      <c r="AR31" s="280">
        <f t="shared" si="8"/>
        <v>0</v>
      </c>
    </row>
    <row r="32" spans="1:44" ht="14.25">
      <c r="A32" s="104"/>
      <c r="B32" s="104"/>
      <c r="C32" s="104"/>
      <c r="D32" s="104"/>
      <c r="E32" s="104"/>
      <c r="F32" s="104"/>
      <c r="G32" s="296"/>
      <c r="H32" s="104"/>
      <c r="I32" s="104"/>
      <c r="J32" s="378"/>
      <c r="K32" s="378"/>
      <c r="L32" s="104"/>
      <c r="M32" s="104"/>
      <c r="N32" s="104"/>
      <c r="O32" s="104"/>
      <c r="P32" s="278"/>
      <c r="Q32" s="278"/>
      <c r="R32" s="278"/>
      <c r="S32" s="278"/>
      <c r="T32" s="244"/>
      <c r="U32" s="401"/>
      <c r="V32" s="401"/>
      <c r="W32" s="244"/>
      <c r="X32" s="244"/>
      <c r="Y32" s="244"/>
      <c r="Z32" s="244"/>
      <c r="AA32" s="244"/>
      <c r="AB32" s="244"/>
      <c r="AC32" s="244"/>
      <c r="AD32" s="244"/>
      <c r="AE32" s="244"/>
      <c r="AF32" s="244"/>
      <c r="AG32" s="244"/>
      <c r="AH32" s="244"/>
      <c r="AI32" s="244"/>
      <c r="AJ32" s="244"/>
      <c r="AK32" s="244"/>
      <c r="AL32" s="244"/>
      <c r="AM32" s="244"/>
      <c r="AN32" s="244"/>
      <c r="AO32" s="244"/>
      <c r="AP32" s="244"/>
      <c r="AQ32" s="244"/>
      <c r="AR32" s="244"/>
    </row>
    <row r="33" spans="1:44" s="334" customFormat="1" ht="27">
      <c r="A33" s="277"/>
      <c r="B33" s="245" t="s">
        <v>307</v>
      </c>
      <c r="C33" s="248">
        <f>C15+C23+C31</f>
        <v>0</v>
      </c>
      <c r="D33" s="339" t="s">
        <v>1</v>
      </c>
      <c r="E33" s="339" t="s">
        <v>1</v>
      </c>
      <c r="F33" s="339" t="s">
        <v>1</v>
      </c>
      <c r="G33" s="339" t="s">
        <v>1</v>
      </c>
      <c r="H33" s="339" t="s">
        <v>1</v>
      </c>
      <c r="I33" s="248">
        <f aca="true" t="shared" si="9" ref="I33:AR33">I15+I23+I31</f>
        <v>0</v>
      </c>
      <c r="J33" s="382">
        <f t="shared" si="9"/>
        <v>0</v>
      </c>
      <c r="K33" s="382">
        <f t="shared" si="9"/>
        <v>0</v>
      </c>
      <c r="L33" s="248">
        <f t="shared" si="9"/>
        <v>0</v>
      </c>
      <c r="M33" s="248">
        <f t="shared" si="9"/>
        <v>0</v>
      </c>
      <c r="N33" s="248">
        <f t="shared" si="9"/>
        <v>0</v>
      </c>
      <c r="O33" s="248">
        <f t="shared" si="9"/>
        <v>0</v>
      </c>
      <c r="P33" s="248">
        <f t="shared" si="9"/>
        <v>0</v>
      </c>
      <c r="Q33" s="280" t="s">
        <v>1</v>
      </c>
      <c r="R33" s="280" t="s">
        <v>1</v>
      </c>
      <c r="S33" s="280" t="s">
        <v>1</v>
      </c>
      <c r="T33" s="248">
        <f t="shared" si="9"/>
        <v>0</v>
      </c>
      <c r="U33" s="382">
        <f t="shared" si="9"/>
        <v>0</v>
      </c>
      <c r="V33" s="382">
        <f t="shared" si="9"/>
        <v>0</v>
      </c>
      <c r="W33" s="248">
        <f t="shared" si="9"/>
        <v>0</v>
      </c>
      <c r="X33" s="248">
        <f t="shared" si="9"/>
        <v>0</v>
      </c>
      <c r="Y33" s="248">
        <f t="shared" si="9"/>
        <v>0</v>
      </c>
      <c r="Z33" s="248">
        <f t="shared" si="9"/>
        <v>0</v>
      </c>
      <c r="AA33" s="248">
        <f t="shared" si="9"/>
        <v>0</v>
      </c>
      <c r="AB33" s="248">
        <f t="shared" si="9"/>
        <v>0</v>
      </c>
      <c r="AC33" s="248">
        <f t="shared" si="9"/>
        <v>0</v>
      </c>
      <c r="AD33" s="248">
        <f t="shared" si="9"/>
        <v>0</v>
      </c>
      <c r="AE33" s="248">
        <f t="shared" si="9"/>
        <v>0</v>
      </c>
      <c r="AF33" s="248">
        <f t="shared" si="9"/>
        <v>0</v>
      </c>
      <c r="AG33" s="248">
        <f t="shared" si="9"/>
        <v>0</v>
      </c>
      <c r="AH33" s="248">
        <f t="shared" si="9"/>
        <v>0</v>
      </c>
      <c r="AI33" s="248">
        <f t="shared" si="9"/>
        <v>0</v>
      </c>
      <c r="AJ33" s="248">
        <f t="shared" si="9"/>
        <v>0</v>
      </c>
      <c r="AK33" s="248">
        <f t="shared" si="9"/>
        <v>0</v>
      </c>
      <c r="AL33" s="248">
        <f t="shared" si="9"/>
        <v>0</v>
      </c>
      <c r="AM33" s="248">
        <f t="shared" si="9"/>
        <v>0</v>
      </c>
      <c r="AN33" s="248">
        <f t="shared" si="9"/>
        <v>0</v>
      </c>
      <c r="AO33" s="248">
        <f t="shared" si="9"/>
        <v>0</v>
      </c>
      <c r="AP33" s="248">
        <f t="shared" si="9"/>
        <v>0</v>
      </c>
      <c r="AQ33" s="248">
        <f t="shared" si="9"/>
        <v>0</v>
      </c>
      <c r="AR33" s="248">
        <f t="shared" si="9"/>
        <v>0</v>
      </c>
    </row>
    <row r="35" spans="1:2" s="5" customFormat="1" ht="13.5">
      <c r="A35" s="4"/>
      <c r="B35" s="5" t="s">
        <v>230</v>
      </c>
    </row>
    <row r="36" spans="1:7" s="5" customFormat="1" ht="27.75" customHeight="1">
      <c r="A36" s="4"/>
      <c r="B36" s="191" t="s">
        <v>420</v>
      </c>
      <c r="C36" s="191"/>
      <c r="D36" s="324"/>
      <c r="E36" s="324"/>
      <c r="F36" s="324"/>
      <c r="G36" s="324"/>
    </row>
    <row r="37" spans="1:7" s="5" customFormat="1" ht="29.25" customHeight="1">
      <c r="A37" s="4"/>
      <c r="B37" s="592" t="s">
        <v>437</v>
      </c>
      <c r="C37" s="324"/>
      <c r="D37" s="324"/>
      <c r="E37" s="324"/>
      <c r="F37" s="324"/>
      <c r="G37" s="324"/>
    </row>
    <row r="40" spans="16:28" ht="13.5">
      <c r="P40" s="190"/>
      <c r="Q40" s="190"/>
      <c r="R40" s="190"/>
      <c r="S40" s="190"/>
      <c r="T40" s="190"/>
      <c r="AA40" s="190"/>
      <c r="AB40" s="190"/>
    </row>
    <row r="41" spans="16:28" ht="11.25" customHeight="1">
      <c r="P41" s="190"/>
      <c r="Q41" s="190"/>
      <c r="R41" s="190"/>
      <c r="S41" s="190"/>
      <c r="T41" s="190"/>
      <c r="AA41" s="190"/>
      <c r="AB41" s="190"/>
    </row>
    <row r="42" ht="11.25" customHeight="1"/>
  </sheetData>
  <sheetProtection/>
  <mergeCells count="5">
    <mergeCell ref="C5:O5"/>
    <mergeCell ref="P5:Z5"/>
    <mergeCell ref="AA5:AF5"/>
    <mergeCell ref="AG5:AL5"/>
    <mergeCell ref="AM5:AP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F45"/>
  <sheetViews>
    <sheetView zoomScalePageLayoutView="0" workbookViewId="0" topLeftCell="A1">
      <selection activeCell="I1" sqref="I1"/>
    </sheetView>
  </sheetViews>
  <sheetFormatPr defaultColWidth="9.140625" defaultRowHeight="12.75"/>
  <cols>
    <col min="1" max="1" width="3.57421875" style="4" customWidth="1"/>
    <col min="2" max="2" width="27.28125" style="5" customWidth="1"/>
    <col min="3" max="3" width="16.57421875" style="5" customWidth="1"/>
    <col min="4" max="4" width="11.421875" style="5" customWidth="1"/>
    <col min="5" max="5" width="9.00390625" style="5" customWidth="1"/>
    <col min="6" max="6" width="10.57421875" style="5" customWidth="1"/>
    <col min="7" max="7" width="11.421875" style="5" customWidth="1"/>
    <col min="8" max="8" width="11.8515625" style="5" customWidth="1"/>
    <col min="9" max="9" width="10.57421875" style="5" customWidth="1"/>
    <col min="10" max="10" width="13.8515625" style="5" customWidth="1"/>
    <col min="11" max="13" width="11.28125" style="5" customWidth="1"/>
    <col min="14" max="14" width="12.28125" style="5" customWidth="1"/>
    <col min="15" max="16384" width="9.140625" style="5" customWidth="1"/>
  </cols>
  <sheetData>
    <row r="1" spans="1:32" ht="16.5">
      <c r="A1" s="32"/>
      <c r="B1" s="236" t="s">
        <v>218</v>
      </c>
      <c r="C1" s="33"/>
      <c r="D1" s="33"/>
      <c r="E1" s="33"/>
      <c r="F1" s="33"/>
      <c r="G1" s="33"/>
      <c r="H1" s="32"/>
      <c r="I1" s="137" t="s">
        <v>440</v>
      </c>
      <c r="J1" s="33"/>
      <c r="K1" s="33"/>
      <c r="L1" s="33"/>
      <c r="M1" s="33"/>
      <c r="N1" s="33"/>
      <c r="O1" s="138"/>
      <c r="P1" s="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</row>
    <row r="2" spans="1:32" ht="22.5" customHeight="1" thickBot="1">
      <c r="A2" s="32"/>
      <c r="B2" s="24"/>
      <c r="C2" s="187"/>
      <c r="D2" s="187"/>
      <c r="E2" s="187"/>
      <c r="F2" s="187"/>
      <c r="G2" s="187"/>
      <c r="I2" s="422" t="s">
        <v>27</v>
      </c>
      <c r="J2" s="152"/>
      <c r="K2" s="152"/>
      <c r="L2" s="152"/>
      <c r="M2" s="152"/>
      <c r="N2" s="152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</row>
    <row r="3" spans="1:32" s="191" customFormat="1" ht="13.5">
      <c r="A3" s="32"/>
      <c r="B3" s="423" t="s">
        <v>28</v>
      </c>
      <c r="C3" s="138"/>
      <c r="D3" s="138"/>
      <c r="E3" s="138"/>
      <c r="F3" s="33"/>
      <c r="G3" s="33"/>
      <c r="H3" s="33"/>
      <c r="I3" s="190"/>
      <c r="J3" s="36"/>
      <c r="K3" s="33"/>
      <c r="L3" s="33"/>
      <c r="M3" s="33"/>
      <c r="N3" s="36"/>
      <c r="O3" s="190"/>
      <c r="P3" s="190"/>
      <c r="Q3" s="190"/>
      <c r="R3" s="190"/>
      <c r="S3" s="190"/>
      <c r="T3" s="190"/>
      <c r="U3" s="190"/>
      <c r="V3" s="190"/>
      <c r="W3" s="190"/>
      <c r="X3" s="190"/>
      <c r="Y3" s="190"/>
      <c r="Z3" s="190"/>
      <c r="AA3" s="190"/>
      <c r="AB3" s="190"/>
      <c r="AC3" s="190"/>
      <c r="AD3" s="190"/>
      <c r="AE3" s="190"/>
      <c r="AF3" s="190"/>
    </row>
    <row r="4" spans="1:32" s="191" customFormat="1" ht="22.5" customHeight="1">
      <c r="A4" s="32"/>
      <c r="B4" s="189"/>
      <c r="C4" s="138"/>
      <c r="D4" s="138"/>
      <c r="E4" s="138"/>
      <c r="F4" s="33"/>
      <c r="G4" s="189"/>
      <c r="H4" s="33"/>
      <c r="I4" s="33"/>
      <c r="J4" s="43" t="s">
        <v>216</v>
      </c>
      <c r="K4" s="33"/>
      <c r="L4" s="33"/>
      <c r="M4" s="33"/>
      <c r="N4" s="190"/>
      <c r="O4" s="36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  <c r="AF4" s="190"/>
    </row>
    <row r="5" spans="1:32" s="366" customFormat="1" ht="14.25">
      <c r="A5" s="282"/>
      <c r="B5" s="363"/>
      <c r="C5" s="364"/>
      <c r="D5" s="365"/>
      <c r="E5" s="365"/>
      <c r="F5" s="365"/>
      <c r="G5" s="367" t="s">
        <v>458</v>
      </c>
      <c r="H5" s="365"/>
      <c r="I5" s="365"/>
      <c r="J5" s="365"/>
      <c r="K5" s="365"/>
      <c r="L5" s="364"/>
      <c r="M5" s="975" t="s">
        <v>451</v>
      </c>
      <c r="N5" s="975"/>
      <c r="O5" s="975"/>
      <c r="P5" s="975"/>
      <c r="Q5" s="976"/>
      <c r="R5" s="977" t="s">
        <v>217</v>
      </c>
      <c r="S5" s="975"/>
      <c r="T5" s="975"/>
      <c r="U5" s="975"/>
      <c r="V5" s="976"/>
      <c r="W5" s="977" t="s">
        <v>476</v>
      </c>
      <c r="X5" s="975"/>
      <c r="Y5" s="975"/>
      <c r="Z5" s="975"/>
      <c r="AA5" s="975"/>
      <c r="AB5" s="977" t="s">
        <v>520</v>
      </c>
      <c r="AC5" s="975"/>
      <c r="AD5" s="975"/>
      <c r="AE5" s="975"/>
      <c r="AF5" s="976"/>
    </row>
    <row r="6" spans="1:32" s="191" customFormat="1" ht="93.75">
      <c r="A6" s="243" t="s">
        <v>111</v>
      </c>
      <c r="B6" s="66" t="s">
        <v>219</v>
      </c>
      <c r="C6" s="66" t="s">
        <v>220</v>
      </c>
      <c r="D6" s="66" t="s">
        <v>221</v>
      </c>
      <c r="E6" s="66" t="s">
        <v>222</v>
      </c>
      <c r="F6" s="562" t="s">
        <v>457</v>
      </c>
      <c r="G6" s="66" t="s">
        <v>212</v>
      </c>
      <c r="H6" s="325" t="s">
        <v>314</v>
      </c>
      <c r="I6" s="66" t="s">
        <v>223</v>
      </c>
      <c r="J6" s="66" t="s">
        <v>224</v>
      </c>
      <c r="K6" s="66" t="s">
        <v>255</v>
      </c>
      <c r="L6" s="562" t="s">
        <v>456</v>
      </c>
      <c r="M6" s="66" t="s">
        <v>212</v>
      </c>
      <c r="N6" s="66" t="s">
        <v>284</v>
      </c>
      <c r="O6" s="66" t="s">
        <v>223</v>
      </c>
      <c r="P6" s="66" t="s">
        <v>224</v>
      </c>
      <c r="Q6" s="66" t="s">
        <v>255</v>
      </c>
      <c r="R6" s="66" t="s">
        <v>212</v>
      </c>
      <c r="S6" s="66" t="s">
        <v>284</v>
      </c>
      <c r="T6" s="66" t="s">
        <v>223</v>
      </c>
      <c r="U6" s="66" t="s">
        <v>224</v>
      </c>
      <c r="V6" s="66" t="s">
        <v>255</v>
      </c>
      <c r="W6" s="66" t="s">
        <v>212</v>
      </c>
      <c r="X6" s="66" t="s">
        <v>284</v>
      </c>
      <c r="Y6" s="66" t="s">
        <v>223</v>
      </c>
      <c r="Z6" s="66" t="s">
        <v>224</v>
      </c>
      <c r="AA6" s="66" t="s">
        <v>255</v>
      </c>
      <c r="AB6" s="66" t="s">
        <v>212</v>
      </c>
      <c r="AC6" s="66" t="s">
        <v>284</v>
      </c>
      <c r="AD6" s="66" t="s">
        <v>223</v>
      </c>
      <c r="AE6" s="66" t="s">
        <v>224</v>
      </c>
      <c r="AF6" s="66" t="s">
        <v>255</v>
      </c>
    </row>
    <row r="7" spans="1:32" s="37" customFormat="1" ht="12.75">
      <c r="A7" s="127">
        <v>1</v>
      </c>
      <c r="B7" s="127">
        <v>2</v>
      </c>
      <c r="C7" s="127">
        <v>3</v>
      </c>
      <c r="D7" s="127">
        <v>4</v>
      </c>
      <c r="E7" s="127">
        <v>5</v>
      </c>
      <c r="F7" s="127">
        <v>6</v>
      </c>
      <c r="G7" s="127">
        <v>7</v>
      </c>
      <c r="H7" s="127">
        <v>8</v>
      </c>
      <c r="I7" s="127">
        <v>9</v>
      </c>
      <c r="J7" s="127">
        <v>10</v>
      </c>
      <c r="K7" s="127">
        <v>11</v>
      </c>
      <c r="L7" s="127">
        <v>12</v>
      </c>
      <c r="M7" s="127">
        <v>13</v>
      </c>
      <c r="N7" s="127">
        <v>14</v>
      </c>
      <c r="O7" s="127">
        <v>15</v>
      </c>
      <c r="P7" s="127">
        <v>16</v>
      </c>
      <c r="Q7" s="127">
        <v>17</v>
      </c>
      <c r="R7" s="127">
        <v>18</v>
      </c>
      <c r="S7" s="127">
        <v>19</v>
      </c>
      <c r="T7" s="127">
        <v>20</v>
      </c>
      <c r="U7" s="127">
        <v>21</v>
      </c>
      <c r="V7" s="127">
        <v>22</v>
      </c>
      <c r="W7" s="127">
        <v>23</v>
      </c>
      <c r="X7" s="127">
        <v>24</v>
      </c>
      <c r="Y7" s="127">
        <v>25</v>
      </c>
      <c r="Z7" s="127">
        <v>26</v>
      </c>
      <c r="AA7" s="127">
        <v>27</v>
      </c>
      <c r="AB7" s="127">
        <v>28</v>
      </c>
      <c r="AC7" s="127">
        <v>29</v>
      </c>
      <c r="AD7" s="127">
        <v>30</v>
      </c>
      <c r="AE7" s="127">
        <v>31</v>
      </c>
      <c r="AF7" s="127">
        <v>32</v>
      </c>
    </row>
    <row r="8" spans="1:32" ht="40.5">
      <c r="A8" s="244" t="s">
        <v>2</v>
      </c>
      <c r="B8" s="245" t="s">
        <v>431</v>
      </c>
      <c r="C8" s="246"/>
      <c r="D8" s="246"/>
      <c r="E8" s="246"/>
      <c r="F8" s="246"/>
      <c r="G8" s="207"/>
      <c r="H8" s="246"/>
      <c r="I8" s="246"/>
      <c r="J8" s="246"/>
      <c r="K8" s="246"/>
      <c r="L8" s="246"/>
      <c r="M8" s="207"/>
      <c r="N8" s="246"/>
      <c r="O8" s="246"/>
      <c r="P8" s="246"/>
      <c r="Q8" s="207"/>
      <c r="R8" s="246"/>
      <c r="S8" s="207"/>
      <c r="T8" s="246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</row>
    <row r="9" spans="1:32" ht="13.5">
      <c r="A9" s="232"/>
      <c r="B9" s="207" t="s">
        <v>123</v>
      </c>
      <c r="C9" s="246"/>
      <c r="D9" s="246"/>
      <c r="E9" s="246"/>
      <c r="F9" s="246"/>
      <c r="G9" s="207"/>
      <c r="H9" s="246"/>
      <c r="I9" s="246"/>
      <c r="J9" s="246"/>
      <c r="K9" s="246"/>
      <c r="L9" s="246"/>
      <c r="M9" s="207"/>
      <c r="N9" s="246"/>
      <c r="O9" s="246"/>
      <c r="P9" s="246"/>
      <c r="Q9" s="207"/>
      <c r="R9" s="246"/>
      <c r="S9" s="207"/>
      <c r="T9" s="246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</row>
    <row r="10" spans="1:32" ht="13.5">
      <c r="A10" s="232">
        <v>1</v>
      </c>
      <c r="B10" s="104"/>
      <c r="C10" s="232"/>
      <c r="D10" s="232"/>
      <c r="E10" s="232"/>
      <c r="F10" s="232"/>
      <c r="G10" s="104"/>
      <c r="H10" s="104"/>
      <c r="I10" s="104"/>
      <c r="J10" s="104"/>
      <c r="K10" s="246">
        <f>H10+I10+J10</f>
        <v>0</v>
      </c>
      <c r="L10" s="246"/>
      <c r="M10" s="104"/>
      <c r="N10" s="232"/>
      <c r="O10" s="232"/>
      <c r="P10" s="232"/>
      <c r="Q10" s="246">
        <f>N10+O10+P10</f>
        <v>0</v>
      </c>
      <c r="R10" s="246">
        <f aca="true" t="shared" si="0" ref="R10:U12">G10-M10</f>
        <v>0</v>
      </c>
      <c r="S10" s="246">
        <f t="shared" si="0"/>
        <v>0</v>
      </c>
      <c r="T10" s="246">
        <f t="shared" si="0"/>
        <v>0</v>
      </c>
      <c r="U10" s="246">
        <f t="shared" si="0"/>
        <v>0</v>
      </c>
      <c r="V10" s="246">
        <f>S10+T10+U10</f>
        <v>0</v>
      </c>
      <c r="W10" s="104"/>
      <c r="X10" s="232"/>
      <c r="Y10" s="232"/>
      <c r="Z10" s="232"/>
      <c r="AA10" s="246">
        <f>X10+Y10+Z10</f>
        <v>0</v>
      </c>
      <c r="AB10" s="104"/>
      <c r="AC10" s="232"/>
      <c r="AD10" s="232"/>
      <c r="AE10" s="232"/>
      <c r="AF10" s="246">
        <f>AC10+AD10+AE10</f>
        <v>0</v>
      </c>
    </row>
    <row r="11" spans="1:32" ht="13.5">
      <c r="A11" s="232">
        <v>2</v>
      </c>
      <c r="B11" s="104"/>
      <c r="C11" s="232"/>
      <c r="D11" s="232"/>
      <c r="E11" s="232"/>
      <c r="F11" s="232"/>
      <c r="G11" s="104"/>
      <c r="H11" s="104"/>
      <c r="I11" s="104"/>
      <c r="J11" s="104"/>
      <c r="K11" s="246">
        <f>H11+I11+J11</f>
        <v>0</v>
      </c>
      <c r="L11" s="246"/>
      <c r="M11" s="104"/>
      <c r="N11" s="232"/>
      <c r="O11" s="232"/>
      <c r="P11" s="232"/>
      <c r="Q11" s="246">
        <f>N11+O11+P11</f>
        <v>0</v>
      </c>
      <c r="R11" s="246">
        <f t="shared" si="0"/>
        <v>0</v>
      </c>
      <c r="S11" s="246">
        <f t="shared" si="0"/>
        <v>0</v>
      </c>
      <c r="T11" s="246">
        <f t="shared" si="0"/>
        <v>0</v>
      </c>
      <c r="U11" s="246">
        <f t="shared" si="0"/>
        <v>0</v>
      </c>
      <c r="V11" s="246">
        <f>S11+T11+U11</f>
        <v>0</v>
      </c>
      <c r="W11" s="104"/>
      <c r="X11" s="232"/>
      <c r="Y11" s="232"/>
      <c r="Z11" s="232"/>
      <c r="AA11" s="246">
        <f>X11+Y11+Z11</f>
        <v>0</v>
      </c>
      <c r="AB11" s="104"/>
      <c r="AC11" s="232"/>
      <c r="AD11" s="232"/>
      <c r="AE11" s="232"/>
      <c r="AF11" s="246">
        <f>AC11+AD11+AE11</f>
        <v>0</v>
      </c>
    </row>
    <row r="12" spans="1:32" ht="13.5">
      <c r="A12" s="232">
        <v>3</v>
      </c>
      <c r="B12" s="247"/>
      <c r="C12" s="232"/>
      <c r="D12" s="232"/>
      <c r="E12" s="232"/>
      <c r="F12" s="232"/>
      <c r="G12" s="104"/>
      <c r="H12" s="104"/>
      <c r="I12" s="104"/>
      <c r="J12" s="104"/>
      <c r="K12" s="246">
        <f>H12+I12+J12</f>
        <v>0</v>
      </c>
      <c r="L12" s="246"/>
      <c r="M12" s="104"/>
      <c r="N12" s="232"/>
      <c r="O12" s="232"/>
      <c r="P12" s="232"/>
      <c r="Q12" s="246">
        <f>N12+O12+P12</f>
        <v>0</v>
      </c>
      <c r="R12" s="246">
        <f t="shared" si="0"/>
        <v>0</v>
      </c>
      <c r="S12" s="246">
        <f t="shared" si="0"/>
        <v>0</v>
      </c>
      <c r="T12" s="246">
        <f t="shared" si="0"/>
        <v>0</v>
      </c>
      <c r="U12" s="246">
        <f t="shared" si="0"/>
        <v>0</v>
      </c>
      <c r="V12" s="246">
        <f>S12+T12+U12</f>
        <v>0</v>
      </c>
      <c r="W12" s="104"/>
      <c r="X12" s="232"/>
      <c r="Y12" s="232"/>
      <c r="Z12" s="232"/>
      <c r="AA12" s="246">
        <f>X12+Y12+Z12</f>
        <v>0</v>
      </c>
      <c r="AB12" s="104"/>
      <c r="AC12" s="232"/>
      <c r="AD12" s="232"/>
      <c r="AE12" s="232"/>
      <c r="AF12" s="246">
        <f>AC12+AD12+AE12</f>
        <v>0</v>
      </c>
    </row>
    <row r="13" spans="1:32" s="249" customFormat="1" ht="14.25">
      <c r="A13" s="244"/>
      <c r="B13" s="252" t="s">
        <v>263</v>
      </c>
      <c r="C13" s="248" t="s">
        <v>1</v>
      </c>
      <c r="D13" s="248" t="s">
        <v>1</v>
      </c>
      <c r="E13" s="248" t="s">
        <v>1</v>
      </c>
      <c r="F13" s="248" t="s">
        <v>1</v>
      </c>
      <c r="G13" s="248">
        <f>SUM(G10:G12)</f>
        <v>0</v>
      </c>
      <c r="H13" s="248">
        <f>SUM(H10:H12)</f>
        <v>0</v>
      </c>
      <c r="I13" s="248">
        <f>SUM(I10:I12)</f>
        <v>0</v>
      </c>
      <c r="J13" s="248">
        <f>SUM(J10:J12)</f>
        <v>0</v>
      </c>
      <c r="K13" s="248">
        <f>SUM(K10:K12)</f>
        <v>0</v>
      </c>
      <c r="L13" s="248" t="s">
        <v>1</v>
      </c>
      <c r="M13" s="248">
        <f aca="true" t="shared" si="1" ref="M13:AF13">SUM(M10:M12)</f>
        <v>0</v>
      </c>
      <c r="N13" s="248">
        <f t="shared" si="1"/>
        <v>0</v>
      </c>
      <c r="O13" s="248">
        <f t="shared" si="1"/>
        <v>0</v>
      </c>
      <c r="P13" s="248">
        <f t="shared" si="1"/>
        <v>0</v>
      </c>
      <c r="Q13" s="248">
        <f t="shared" si="1"/>
        <v>0</v>
      </c>
      <c r="R13" s="248">
        <f t="shared" si="1"/>
        <v>0</v>
      </c>
      <c r="S13" s="248">
        <f t="shared" si="1"/>
        <v>0</v>
      </c>
      <c r="T13" s="248">
        <f t="shared" si="1"/>
        <v>0</v>
      </c>
      <c r="U13" s="248">
        <f t="shared" si="1"/>
        <v>0</v>
      </c>
      <c r="V13" s="248">
        <f t="shared" si="1"/>
        <v>0</v>
      </c>
      <c r="W13" s="248">
        <f t="shared" si="1"/>
        <v>0</v>
      </c>
      <c r="X13" s="248">
        <f t="shared" si="1"/>
        <v>0</v>
      </c>
      <c r="Y13" s="248">
        <f t="shared" si="1"/>
        <v>0</v>
      </c>
      <c r="Z13" s="248">
        <f t="shared" si="1"/>
        <v>0</v>
      </c>
      <c r="AA13" s="248">
        <f t="shared" si="1"/>
        <v>0</v>
      </c>
      <c r="AB13" s="248">
        <f t="shared" si="1"/>
        <v>0</v>
      </c>
      <c r="AC13" s="248">
        <f t="shared" si="1"/>
        <v>0</v>
      </c>
      <c r="AD13" s="248">
        <f t="shared" si="1"/>
        <v>0</v>
      </c>
      <c r="AE13" s="248">
        <f t="shared" si="1"/>
        <v>0</v>
      </c>
      <c r="AF13" s="248">
        <f t="shared" si="1"/>
        <v>0</v>
      </c>
    </row>
    <row r="14" spans="1:32" ht="13.5">
      <c r="A14" s="232"/>
      <c r="B14" s="207"/>
      <c r="C14" s="246"/>
      <c r="D14" s="246"/>
      <c r="E14" s="246"/>
      <c r="F14" s="246"/>
      <c r="G14" s="207"/>
      <c r="H14" s="246"/>
      <c r="I14" s="246"/>
      <c r="J14" s="246"/>
      <c r="K14" s="246"/>
      <c r="L14" s="246"/>
      <c r="M14" s="207"/>
      <c r="N14" s="246"/>
      <c r="O14" s="246"/>
      <c r="P14" s="246"/>
      <c r="Q14" s="207"/>
      <c r="R14" s="246"/>
      <c r="S14" s="207"/>
      <c r="T14" s="246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</row>
    <row r="15" spans="1:32" ht="40.5">
      <c r="A15" s="244" t="s">
        <v>3</v>
      </c>
      <c r="B15" s="245" t="s">
        <v>485</v>
      </c>
      <c r="C15" s="246"/>
      <c r="D15" s="246"/>
      <c r="E15" s="246"/>
      <c r="F15" s="246"/>
      <c r="G15" s="245"/>
      <c r="H15" s="246"/>
      <c r="I15" s="246"/>
      <c r="J15" s="246"/>
      <c r="K15" s="246"/>
      <c r="L15" s="246"/>
      <c r="M15" s="245"/>
      <c r="N15" s="246"/>
      <c r="O15" s="246"/>
      <c r="P15" s="246"/>
      <c r="Q15" s="245"/>
      <c r="R15" s="246"/>
      <c r="S15" s="245"/>
      <c r="T15" s="246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</row>
    <row r="16" spans="1:32" ht="13.5">
      <c r="A16" s="232"/>
      <c r="B16" s="207" t="s">
        <v>123</v>
      </c>
      <c r="C16" s="246"/>
      <c r="D16" s="246"/>
      <c r="E16" s="246"/>
      <c r="F16" s="246"/>
      <c r="G16" s="207"/>
      <c r="H16" s="246"/>
      <c r="I16" s="246"/>
      <c r="J16" s="246"/>
      <c r="K16" s="246"/>
      <c r="L16" s="246"/>
      <c r="M16" s="207"/>
      <c r="N16" s="246"/>
      <c r="O16" s="246"/>
      <c r="P16" s="246"/>
      <c r="Q16" s="207"/>
      <c r="R16" s="246"/>
      <c r="S16" s="207"/>
      <c r="T16" s="246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</row>
    <row r="17" spans="1:32" ht="13.5">
      <c r="A17" s="232"/>
      <c r="B17" s="207" t="s">
        <v>226</v>
      </c>
      <c r="C17" s="246"/>
      <c r="D17" s="246"/>
      <c r="E17" s="246"/>
      <c r="F17" s="246"/>
      <c r="G17" s="207"/>
      <c r="H17" s="207"/>
      <c r="I17" s="207"/>
      <c r="J17" s="207"/>
      <c r="K17" s="207"/>
      <c r="L17" s="207"/>
      <c r="M17" s="207"/>
      <c r="N17" s="207"/>
      <c r="O17" s="207"/>
      <c r="P17" s="207"/>
      <c r="Q17" s="207"/>
      <c r="R17" s="207"/>
      <c r="S17" s="207"/>
      <c r="T17" s="207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</row>
    <row r="18" spans="1:32" ht="13.5">
      <c r="A18" s="232"/>
      <c r="B18" s="207" t="s">
        <v>227</v>
      </c>
      <c r="C18" s="246"/>
      <c r="D18" s="246"/>
      <c r="E18" s="246"/>
      <c r="F18" s="246"/>
      <c r="G18" s="207"/>
      <c r="H18" s="207"/>
      <c r="I18" s="207"/>
      <c r="J18" s="207"/>
      <c r="K18" s="207"/>
      <c r="L18" s="207"/>
      <c r="M18" s="207"/>
      <c r="N18" s="207"/>
      <c r="O18" s="207"/>
      <c r="P18" s="207"/>
      <c r="Q18" s="207"/>
      <c r="R18" s="207"/>
      <c r="S18" s="207"/>
      <c r="T18" s="207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</row>
    <row r="19" spans="1:32" ht="13.5">
      <c r="A19" s="232">
        <v>1</v>
      </c>
      <c r="B19" s="104"/>
      <c r="C19" s="232"/>
      <c r="D19" s="232"/>
      <c r="E19" s="232"/>
      <c r="F19" s="232"/>
      <c r="G19" s="104"/>
      <c r="H19" s="104"/>
      <c r="I19" s="104"/>
      <c r="J19" s="104"/>
      <c r="K19" s="246">
        <f>H19+I19+J19</f>
        <v>0</v>
      </c>
      <c r="L19" s="246"/>
      <c r="M19" s="104"/>
      <c r="N19" s="232"/>
      <c r="O19" s="232"/>
      <c r="P19" s="232"/>
      <c r="Q19" s="246">
        <f>N19+O19+P19</f>
        <v>0</v>
      </c>
      <c r="R19" s="246">
        <f aca="true" t="shared" si="2" ref="R19:U21">G19-M19</f>
        <v>0</v>
      </c>
      <c r="S19" s="246">
        <f t="shared" si="2"/>
        <v>0</v>
      </c>
      <c r="T19" s="246">
        <f t="shared" si="2"/>
        <v>0</v>
      </c>
      <c r="U19" s="246">
        <f t="shared" si="2"/>
        <v>0</v>
      </c>
      <c r="V19" s="246">
        <f>S19+T19+U19</f>
        <v>0</v>
      </c>
      <c r="W19" s="104"/>
      <c r="X19" s="232"/>
      <c r="Y19" s="232"/>
      <c r="Z19" s="232"/>
      <c r="AA19" s="246">
        <f>X19+Y19+Z19</f>
        <v>0</v>
      </c>
      <c r="AB19" s="104"/>
      <c r="AC19" s="232"/>
      <c r="AD19" s="232"/>
      <c r="AE19" s="232"/>
      <c r="AF19" s="246">
        <f>AC19+AD19+AE19</f>
        <v>0</v>
      </c>
    </row>
    <row r="20" spans="1:32" ht="13.5">
      <c r="A20" s="232">
        <v>2</v>
      </c>
      <c r="B20" s="104"/>
      <c r="C20" s="232"/>
      <c r="D20" s="232"/>
      <c r="E20" s="232"/>
      <c r="F20" s="232"/>
      <c r="G20" s="104"/>
      <c r="H20" s="104"/>
      <c r="I20" s="104"/>
      <c r="J20" s="104"/>
      <c r="K20" s="246">
        <f>H20+I20+J20</f>
        <v>0</v>
      </c>
      <c r="L20" s="246"/>
      <c r="M20" s="104"/>
      <c r="N20" s="232"/>
      <c r="O20" s="232"/>
      <c r="P20" s="232"/>
      <c r="Q20" s="246">
        <f>N20+O20+P20</f>
        <v>0</v>
      </c>
      <c r="R20" s="246">
        <f t="shared" si="2"/>
        <v>0</v>
      </c>
      <c r="S20" s="246">
        <f t="shared" si="2"/>
        <v>0</v>
      </c>
      <c r="T20" s="246">
        <f t="shared" si="2"/>
        <v>0</v>
      </c>
      <c r="U20" s="246">
        <f t="shared" si="2"/>
        <v>0</v>
      </c>
      <c r="V20" s="246">
        <f>S20+T20+U20</f>
        <v>0</v>
      </c>
      <c r="W20" s="104"/>
      <c r="X20" s="232"/>
      <c r="Y20" s="232"/>
      <c r="Z20" s="232"/>
      <c r="AA20" s="246">
        <f>X20+Y20+Z20</f>
        <v>0</v>
      </c>
      <c r="AB20" s="104"/>
      <c r="AC20" s="232"/>
      <c r="AD20" s="232"/>
      <c r="AE20" s="232"/>
      <c r="AF20" s="246">
        <f>AC20+AD20+AE20</f>
        <v>0</v>
      </c>
    </row>
    <row r="21" spans="1:32" ht="13.5">
      <c r="A21" s="232">
        <v>3</v>
      </c>
      <c r="B21" s="247"/>
      <c r="C21" s="232"/>
      <c r="D21" s="232"/>
      <c r="E21" s="232"/>
      <c r="F21" s="232"/>
      <c r="G21" s="104"/>
      <c r="H21" s="104"/>
      <c r="I21" s="104"/>
      <c r="J21" s="104"/>
      <c r="K21" s="246">
        <f>H21+I21+J21</f>
        <v>0</v>
      </c>
      <c r="L21" s="246"/>
      <c r="M21" s="104"/>
      <c r="N21" s="232"/>
      <c r="O21" s="232"/>
      <c r="P21" s="232"/>
      <c r="Q21" s="246">
        <f>N21+O21+P21</f>
        <v>0</v>
      </c>
      <c r="R21" s="246">
        <f t="shared" si="2"/>
        <v>0</v>
      </c>
      <c r="S21" s="246">
        <f t="shared" si="2"/>
        <v>0</v>
      </c>
      <c r="T21" s="246">
        <f t="shared" si="2"/>
        <v>0</v>
      </c>
      <c r="U21" s="246">
        <f t="shared" si="2"/>
        <v>0</v>
      </c>
      <c r="V21" s="246">
        <f>S21+T21+U21</f>
        <v>0</v>
      </c>
      <c r="W21" s="104"/>
      <c r="X21" s="232"/>
      <c r="Y21" s="232"/>
      <c r="Z21" s="232"/>
      <c r="AA21" s="246">
        <f>X21+Y21+Z21</f>
        <v>0</v>
      </c>
      <c r="AB21" s="104"/>
      <c r="AC21" s="232"/>
      <c r="AD21" s="232"/>
      <c r="AE21" s="232"/>
      <c r="AF21" s="246">
        <f>AC21+AD21+AE21</f>
        <v>0</v>
      </c>
    </row>
    <row r="22" spans="1:32" s="249" customFormat="1" ht="27">
      <c r="A22" s="244"/>
      <c r="B22" s="252" t="s">
        <v>228</v>
      </c>
      <c r="C22" s="248" t="s">
        <v>1</v>
      </c>
      <c r="D22" s="248" t="s">
        <v>1</v>
      </c>
      <c r="E22" s="248" t="s">
        <v>1</v>
      </c>
      <c r="F22" s="248" t="s">
        <v>1</v>
      </c>
      <c r="G22" s="248">
        <f>SUM(G19:G21)</f>
        <v>0</v>
      </c>
      <c r="H22" s="248">
        <f>SUM(H19:H21)</f>
        <v>0</v>
      </c>
      <c r="I22" s="248">
        <f>SUM(I19:I21)</f>
        <v>0</v>
      </c>
      <c r="J22" s="248">
        <f>SUM(J19:J21)</f>
        <v>0</v>
      </c>
      <c r="K22" s="248">
        <f>SUM(K19:K21)</f>
        <v>0</v>
      </c>
      <c r="L22" s="248" t="s">
        <v>1</v>
      </c>
      <c r="M22" s="248">
        <f aca="true" t="shared" si="3" ref="M22:AF22">SUM(M19:M21)</f>
        <v>0</v>
      </c>
      <c r="N22" s="248">
        <f t="shared" si="3"/>
        <v>0</v>
      </c>
      <c r="O22" s="248">
        <f t="shared" si="3"/>
        <v>0</v>
      </c>
      <c r="P22" s="248">
        <f t="shared" si="3"/>
        <v>0</v>
      </c>
      <c r="Q22" s="248">
        <f t="shared" si="3"/>
        <v>0</v>
      </c>
      <c r="R22" s="248">
        <f t="shared" si="3"/>
        <v>0</v>
      </c>
      <c r="S22" s="248">
        <f t="shared" si="3"/>
        <v>0</v>
      </c>
      <c r="T22" s="248">
        <f t="shared" si="3"/>
        <v>0</v>
      </c>
      <c r="U22" s="248">
        <f t="shared" si="3"/>
        <v>0</v>
      </c>
      <c r="V22" s="248">
        <f t="shared" si="3"/>
        <v>0</v>
      </c>
      <c r="W22" s="248">
        <f t="shared" si="3"/>
        <v>0</v>
      </c>
      <c r="X22" s="248">
        <f t="shared" si="3"/>
        <v>0</v>
      </c>
      <c r="Y22" s="248">
        <f t="shared" si="3"/>
        <v>0</v>
      </c>
      <c r="Z22" s="248">
        <f t="shared" si="3"/>
        <v>0</v>
      </c>
      <c r="AA22" s="248">
        <f t="shared" si="3"/>
        <v>0</v>
      </c>
      <c r="AB22" s="248">
        <f t="shared" si="3"/>
        <v>0</v>
      </c>
      <c r="AC22" s="248">
        <f t="shared" si="3"/>
        <v>0</v>
      </c>
      <c r="AD22" s="248">
        <f t="shared" si="3"/>
        <v>0</v>
      </c>
      <c r="AE22" s="248">
        <f t="shared" si="3"/>
        <v>0</v>
      </c>
      <c r="AF22" s="248">
        <f t="shared" si="3"/>
        <v>0</v>
      </c>
    </row>
    <row r="23" spans="1:32" ht="13.5">
      <c r="A23" s="232"/>
      <c r="B23" s="207" t="s">
        <v>227</v>
      </c>
      <c r="C23" s="246"/>
      <c r="D23" s="246"/>
      <c r="E23" s="246"/>
      <c r="F23" s="246"/>
      <c r="G23" s="207"/>
      <c r="H23" s="207"/>
      <c r="I23" s="207"/>
      <c r="J23" s="207"/>
      <c r="K23" s="207"/>
      <c r="L23" s="207"/>
      <c r="M23" s="207"/>
      <c r="N23" s="207"/>
      <c r="O23" s="207"/>
      <c r="P23" s="207"/>
      <c r="Q23" s="207"/>
      <c r="R23" s="207"/>
      <c r="S23" s="207"/>
      <c r="T23" s="207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</row>
    <row r="24" spans="1:32" ht="13.5">
      <c r="A24" s="232">
        <v>1</v>
      </c>
      <c r="B24" s="104"/>
      <c r="C24" s="232"/>
      <c r="D24" s="232"/>
      <c r="E24" s="232"/>
      <c r="F24" s="232"/>
      <c r="G24" s="104"/>
      <c r="H24" s="104"/>
      <c r="I24" s="104"/>
      <c r="J24" s="104"/>
      <c r="K24" s="246">
        <f>H24+I24+J24</f>
        <v>0</v>
      </c>
      <c r="L24" s="246"/>
      <c r="M24" s="104"/>
      <c r="N24" s="232"/>
      <c r="O24" s="232"/>
      <c r="P24" s="232"/>
      <c r="Q24" s="246">
        <f>N24+O24+P24</f>
        <v>0</v>
      </c>
      <c r="R24" s="246">
        <f aca="true" t="shared" si="4" ref="R24:U26">G24-M24</f>
        <v>0</v>
      </c>
      <c r="S24" s="246">
        <f t="shared" si="4"/>
        <v>0</v>
      </c>
      <c r="T24" s="246">
        <f t="shared" si="4"/>
        <v>0</v>
      </c>
      <c r="U24" s="246">
        <f t="shared" si="4"/>
        <v>0</v>
      </c>
      <c r="V24" s="246">
        <f>S24+T24+U24</f>
        <v>0</v>
      </c>
      <c r="W24" s="104"/>
      <c r="X24" s="232"/>
      <c r="Y24" s="232"/>
      <c r="Z24" s="232"/>
      <c r="AA24" s="246">
        <f>X24+Y24+Z24</f>
        <v>0</v>
      </c>
      <c r="AB24" s="104"/>
      <c r="AC24" s="232"/>
      <c r="AD24" s="232"/>
      <c r="AE24" s="232"/>
      <c r="AF24" s="246">
        <f>AC24+AD24+AE24</f>
        <v>0</v>
      </c>
    </row>
    <row r="25" spans="1:32" ht="13.5">
      <c r="A25" s="232">
        <v>2</v>
      </c>
      <c r="B25" s="104"/>
      <c r="C25" s="232"/>
      <c r="D25" s="232"/>
      <c r="E25" s="232"/>
      <c r="F25" s="232"/>
      <c r="G25" s="104"/>
      <c r="H25" s="104"/>
      <c r="I25" s="104"/>
      <c r="J25" s="104"/>
      <c r="K25" s="246">
        <f>H25+I25+J25</f>
        <v>0</v>
      </c>
      <c r="L25" s="246"/>
      <c r="M25" s="104"/>
      <c r="N25" s="232"/>
      <c r="O25" s="232"/>
      <c r="P25" s="232"/>
      <c r="Q25" s="246">
        <f>N25+O25+P25</f>
        <v>0</v>
      </c>
      <c r="R25" s="246">
        <f t="shared" si="4"/>
        <v>0</v>
      </c>
      <c r="S25" s="246">
        <f t="shared" si="4"/>
        <v>0</v>
      </c>
      <c r="T25" s="246">
        <f t="shared" si="4"/>
        <v>0</v>
      </c>
      <c r="U25" s="246">
        <f t="shared" si="4"/>
        <v>0</v>
      </c>
      <c r="V25" s="246">
        <f>S25+T25+U25</f>
        <v>0</v>
      </c>
      <c r="W25" s="104"/>
      <c r="X25" s="232"/>
      <c r="Y25" s="232"/>
      <c r="Z25" s="232"/>
      <c r="AA25" s="246">
        <f>X25+Y25+Z25</f>
        <v>0</v>
      </c>
      <c r="AB25" s="104"/>
      <c r="AC25" s="232"/>
      <c r="AD25" s="232"/>
      <c r="AE25" s="232"/>
      <c r="AF25" s="246">
        <f>AC25+AD25+AE25</f>
        <v>0</v>
      </c>
    </row>
    <row r="26" spans="1:32" ht="13.5">
      <c r="A26" s="232">
        <v>3</v>
      </c>
      <c r="B26" s="247"/>
      <c r="C26" s="232"/>
      <c r="D26" s="232"/>
      <c r="E26" s="232"/>
      <c r="F26" s="232"/>
      <c r="G26" s="104"/>
      <c r="H26" s="104"/>
      <c r="I26" s="104"/>
      <c r="J26" s="104"/>
      <c r="K26" s="246">
        <f>H26+I26+J26</f>
        <v>0</v>
      </c>
      <c r="L26" s="246"/>
      <c r="M26" s="104"/>
      <c r="N26" s="232"/>
      <c r="O26" s="232"/>
      <c r="P26" s="232"/>
      <c r="Q26" s="246">
        <f>N26+O26+P26</f>
        <v>0</v>
      </c>
      <c r="R26" s="246">
        <f t="shared" si="4"/>
        <v>0</v>
      </c>
      <c r="S26" s="246">
        <f t="shared" si="4"/>
        <v>0</v>
      </c>
      <c r="T26" s="246">
        <f t="shared" si="4"/>
        <v>0</v>
      </c>
      <c r="U26" s="246">
        <f t="shared" si="4"/>
        <v>0</v>
      </c>
      <c r="V26" s="246">
        <f>S26+T26+U26</f>
        <v>0</v>
      </c>
      <c r="W26" s="104"/>
      <c r="X26" s="232"/>
      <c r="Y26" s="232"/>
      <c r="Z26" s="232"/>
      <c r="AA26" s="246">
        <f>X26+Y26+Z26</f>
        <v>0</v>
      </c>
      <c r="AB26" s="104"/>
      <c r="AC26" s="232"/>
      <c r="AD26" s="232"/>
      <c r="AE26" s="232"/>
      <c r="AF26" s="246">
        <f>AC26+AD26+AE26</f>
        <v>0</v>
      </c>
    </row>
    <row r="27" spans="1:32" s="249" customFormat="1" ht="27">
      <c r="A27" s="244"/>
      <c r="B27" s="252" t="s">
        <v>228</v>
      </c>
      <c r="C27" s="248" t="s">
        <v>1</v>
      </c>
      <c r="D27" s="248" t="s">
        <v>1</v>
      </c>
      <c r="E27" s="248" t="s">
        <v>1</v>
      </c>
      <c r="F27" s="248" t="s">
        <v>1</v>
      </c>
      <c r="G27" s="248">
        <f>SUM(G24:G26)</f>
        <v>0</v>
      </c>
      <c r="H27" s="248">
        <f>SUM(H24:H26)</f>
        <v>0</v>
      </c>
      <c r="I27" s="248">
        <f>SUM(I24:I26)</f>
        <v>0</v>
      </c>
      <c r="J27" s="248">
        <f>SUM(J24:J26)</f>
        <v>0</v>
      </c>
      <c r="K27" s="248">
        <f>SUM(K24:K26)</f>
        <v>0</v>
      </c>
      <c r="L27" s="248" t="s">
        <v>1</v>
      </c>
      <c r="M27" s="248">
        <f aca="true" t="shared" si="5" ref="M27:AF27">SUM(M24:M26)</f>
        <v>0</v>
      </c>
      <c r="N27" s="248">
        <f t="shared" si="5"/>
        <v>0</v>
      </c>
      <c r="O27" s="248">
        <f t="shared" si="5"/>
        <v>0</v>
      </c>
      <c r="P27" s="248">
        <f t="shared" si="5"/>
        <v>0</v>
      </c>
      <c r="Q27" s="248">
        <f t="shared" si="5"/>
        <v>0</v>
      </c>
      <c r="R27" s="248">
        <f t="shared" si="5"/>
        <v>0</v>
      </c>
      <c r="S27" s="248">
        <f t="shared" si="5"/>
        <v>0</v>
      </c>
      <c r="T27" s="248">
        <f t="shared" si="5"/>
        <v>0</v>
      </c>
      <c r="U27" s="248">
        <f t="shared" si="5"/>
        <v>0</v>
      </c>
      <c r="V27" s="248">
        <f t="shared" si="5"/>
        <v>0</v>
      </c>
      <c r="W27" s="248">
        <f t="shared" si="5"/>
        <v>0</v>
      </c>
      <c r="X27" s="248">
        <f t="shared" si="5"/>
        <v>0</v>
      </c>
      <c r="Y27" s="248">
        <f t="shared" si="5"/>
        <v>0</v>
      </c>
      <c r="Z27" s="248">
        <f t="shared" si="5"/>
        <v>0</v>
      </c>
      <c r="AA27" s="248">
        <f t="shared" si="5"/>
        <v>0</v>
      </c>
      <c r="AB27" s="248">
        <f t="shared" si="5"/>
        <v>0</v>
      </c>
      <c r="AC27" s="248">
        <f t="shared" si="5"/>
        <v>0</v>
      </c>
      <c r="AD27" s="248">
        <f t="shared" si="5"/>
        <v>0</v>
      </c>
      <c r="AE27" s="248">
        <f t="shared" si="5"/>
        <v>0</v>
      </c>
      <c r="AF27" s="248">
        <f t="shared" si="5"/>
        <v>0</v>
      </c>
    </row>
    <row r="28" spans="1:32" s="249" customFormat="1" ht="27">
      <c r="A28" s="244"/>
      <c r="B28" s="252" t="s">
        <v>260</v>
      </c>
      <c r="C28" s="248" t="s">
        <v>1</v>
      </c>
      <c r="D28" s="248" t="s">
        <v>1</v>
      </c>
      <c r="E28" s="248" t="s">
        <v>1</v>
      </c>
      <c r="F28" s="248" t="s">
        <v>1</v>
      </c>
      <c r="G28" s="248">
        <f>G22+G27</f>
        <v>0</v>
      </c>
      <c r="H28" s="248">
        <f>H22+H27</f>
        <v>0</v>
      </c>
      <c r="I28" s="248">
        <f>I22+I27</f>
        <v>0</v>
      </c>
      <c r="J28" s="248">
        <f>J22+J27</f>
        <v>0</v>
      </c>
      <c r="K28" s="248">
        <f>K22+K27</f>
        <v>0</v>
      </c>
      <c r="L28" s="248" t="s">
        <v>1</v>
      </c>
      <c r="M28" s="248">
        <f aca="true" t="shared" si="6" ref="M28:AF28">M22+M27</f>
        <v>0</v>
      </c>
      <c r="N28" s="248">
        <f t="shared" si="6"/>
        <v>0</v>
      </c>
      <c r="O28" s="248">
        <f t="shared" si="6"/>
        <v>0</v>
      </c>
      <c r="P28" s="248">
        <f t="shared" si="6"/>
        <v>0</v>
      </c>
      <c r="Q28" s="248">
        <f t="shared" si="6"/>
        <v>0</v>
      </c>
      <c r="R28" s="248">
        <f t="shared" si="6"/>
        <v>0</v>
      </c>
      <c r="S28" s="248">
        <f t="shared" si="6"/>
        <v>0</v>
      </c>
      <c r="T28" s="248">
        <f t="shared" si="6"/>
        <v>0</v>
      </c>
      <c r="U28" s="248">
        <f t="shared" si="6"/>
        <v>0</v>
      </c>
      <c r="V28" s="248">
        <f t="shared" si="6"/>
        <v>0</v>
      </c>
      <c r="W28" s="248">
        <f t="shared" si="6"/>
        <v>0</v>
      </c>
      <c r="X28" s="248">
        <f t="shared" si="6"/>
        <v>0</v>
      </c>
      <c r="Y28" s="248">
        <f t="shared" si="6"/>
        <v>0</v>
      </c>
      <c r="Z28" s="248">
        <f t="shared" si="6"/>
        <v>0</v>
      </c>
      <c r="AA28" s="248">
        <f t="shared" si="6"/>
        <v>0</v>
      </c>
      <c r="AB28" s="248">
        <f t="shared" si="6"/>
        <v>0</v>
      </c>
      <c r="AC28" s="248">
        <f t="shared" si="6"/>
        <v>0</v>
      </c>
      <c r="AD28" s="248">
        <f t="shared" si="6"/>
        <v>0</v>
      </c>
      <c r="AE28" s="248">
        <f t="shared" si="6"/>
        <v>0</v>
      </c>
      <c r="AF28" s="248">
        <f t="shared" si="6"/>
        <v>0</v>
      </c>
    </row>
    <row r="29" spans="1:32" ht="13.5">
      <c r="A29" s="232"/>
      <c r="B29" s="247"/>
      <c r="C29" s="246"/>
      <c r="D29" s="246"/>
      <c r="E29" s="246"/>
      <c r="F29" s="246"/>
      <c r="G29" s="247"/>
      <c r="H29" s="246"/>
      <c r="I29" s="246"/>
      <c r="J29" s="246"/>
      <c r="K29" s="246"/>
      <c r="L29" s="246"/>
      <c r="M29" s="247"/>
      <c r="N29" s="246"/>
      <c r="O29" s="246"/>
      <c r="P29" s="246"/>
      <c r="Q29" s="247"/>
      <c r="R29" s="246"/>
      <c r="S29" s="247"/>
      <c r="T29" s="246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</row>
    <row r="30" spans="1:32" ht="13.5">
      <c r="A30" s="232"/>
      <c r="B30" s="104"/>
      <c r="C30" s="246"/>
      <c r="D30" s="246"/>
      <c r="E30" s="246"/>
      <c r="F30" s="246"/>
      <c r="G30" s="104"/>
      <c r="H30" s="246"/>
      <c r="I30" s="246"/>
      <c r="J30" s="246"/>
      <c r="K30" s="246"/>
      <c r="L30" s="246"/>
      <c r="M30" s="104"/>
      <c r="N30" s="246"/>
      <c r="O30" s="246"/>
      <c r="P30" s="246"/>
      <c r="Q30" s="104"/>
      <c r="R30" s="246"/>
      <c r="S30" s="104"/>
      <c r="T30" s="246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</row>
    <row r="31" spans="1:32" ht="54">
      <c r="A31" s="244" t="s">
        <v>4</v>
      </c>
      <c r="B31" s="245" t="s">
        <v>421</v>
      </c>
      <c r="C31" s="246"/>
      <c r="D31" s="246"/>
      <c r="E31" s="246"/>
      <c r="F31" s="246"/>
      <c r="G31" s="245"/>
      <c r="H31" s="246"/>
      <c r="I31" s="246"/>
      <c r="J31" s="246"/>
      <c r="K31" s="246"/>
      <c r="L31" s="246"/>
      <c r="M31" s="245"/>
      <c r="N31" s="246"/>
      <c r="O31" s="246"/>
      <c r="P31" s="246"/>
      <c r="Q31" s="245"/>
      <c r="R31" s="246"/>
      <c r="S31" s="245"/>
      <c r="T31" s="246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  <c r="AF31" s="109"/>
    </row>
    <row r="32" spans="1:32" ht="13.5">
      <c r="A32" s="232"/>
      <c r="B32" s="207" t="s">
        <v>123</v>
      </c>
      <c r="C32" s="246"/>
      <c r="D32" s="246"/>
      <c r="E32" s="246"/>
      <c r="F32" s="246"/>
      <c r="G32" s="207"/>
      <c r="H32" s="246"/>
      <c r="I32" s="246"/>
      <c r="J32" s="246"/>
      <c r="K32" s="246"/>
      <c r="L32" s="246"/>
      <c r="M32" s="207"/>
      <c r="N32" s="246"/>
      <c r="O32" s="246"/>
      <c r="P32" s="246"/>
      <c r="Q32" s="207"/>
      <c r="R32" s="246"/>
      <c r="S32" s="207"/>
      <c r="T32" s="246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</row>
    <row r="33" spans="1:32" ht="13.5">
      <c r="A33" s="232">
        <v>1</v>
      </c>
      <c r="B33" s="104"/>
      <c r="C33" s="246"/>
      <c r="D33" s="246" t="s">
        <v>1</v>
      </c>
      <c r="E33" s="246" t="s">
        <v>1</v>
      </c>
      <c r="F33" s="246"/>
      <c r="G33" s="104"/>
      <c r="H33" s="232"/>
      <c r="I33" s="232"/>
      <c r="J33" s="232"/>
      <c r="K33" s="246">
        <f>H33+I33+J33</f>
        <v>0</v>
      </c>
      <c r="L33" s="246"/>
      <c r="M33" s="104"/>
      <c r="N33" s="232"/>
      <c r="O33" s="232"/>
      <c r="P33" s="232"/>
      <c r="Q33" s="246">
        <f>N33+O33+P33</f>
        <v>0</v>
      </c>
      <c r="R33" s="246">
        <f aca="true" t="shared" si="7" ref="R33:U35">G33-M33</f>
        <v>0</v>
      </c>
      <c r="S33" s="246">
        <f t="shared" si="7"/>
        <v>0</v>
      </c>
      <c r="T33" s="246">
        <f t="shared" si="7"/>
        <v>0</v>
      </c>
      <c r="U33" s="246">
        <f t="shared" si="7"/>
        <v>0</v>
      </c>
      <c r="V33" s="246">
        <f>S33+T33+U33</f>
        <v>0</v>
      </c>
      <c r="W33" s="104"/>
      <c r="X33" s="232"/>
      <c r="Y33" s="232"/>
      <c r="Z33" s="232"/>
      <c r="AA33" s="246">
        <f>X33+Y33+Z33</f>
        <v>0</v>
      </c>
      <c r="AB33" s="104"/>
      <c r="AC33" s="232"/>
      <c r="AD33" s="232"/>
      <c r="AE33" s="232"/>
      <c r="AF33" s="246">
        <f>AC33+AD33+AE33</f>
        <v>0</v>
      </c>
    </row>
    <row r="34" spans="1:32" ht="13.5">
      <c r="A34" s="232">
        <v>2</v>
      </c>
      <c r="B34" s="104"/>
      <c r="C34" s="246"/>
      <c r="D34" s="246" t="s">
        <v>1</v>
      </c>
      <c r="E34" s="246" t="s">
        <v>1</v>
      </c>
      <c r="F34" s="246"/>
      <c r="G34" s="104"/>
      <c r="H34" s="232"/>
      <c r="I34" s="232"/>
      <c r="J34" s="232"/>
      <c r="K34" s="246">
        <f>H34+I34+J34</f>
        <v>0</v>
      </c>
      <c r="L34" s="246"/>
      <c r="M34" s="104"/>
      <c r="N34" s="232"/>
      <c r="O34" s="232"/>
      <c r="P34" s="232"/>
      <c r="Q34" s="246">
        <f>N34+O34+P34</f>
        <v>0</v>
      </c>
      <c r="R34" s="246">
        <f t="shared" si="7"/>
        <v>0</v>
      </c>
      <c r="S34" s="246">
        <f t="shared" si="7"/>
        <v>0</v>
      </c>
      <c r="T34" s="246">
        <f t="shared" si="7"/>
        <v>0</v>
      </c>
      <c r="U34" s="246">
        <f t="shared" si="7"/>
        <v>0</v>
      </c>
      <c r="V34" s="246">
        <f>S34+T34+U34</f>
        <v>0</v>
      </c>
      <c r="W34" s="104"/>
      <c r="X34" s="232"/>
      <c r="Y34" s="232"/>
      <c r="Z34" s="232"/>
      <c r="AA34" s="246">
        <f>X34+Y34+Z34</f>
        <v>0</v>
      </c>
      <c r="AB34" s="104"/>
      <c r="AC34" s="232"/>
      <c r="AD34" s="232"/>
      <c r="AE34" s="232"/>
      <c r="AF34" s="246">
        <f>AC34+AD34+AE34</f>
        <v>0</v>
      </c>
    </row>
    <row r="35" spans="1:32" ht="13.5">
      <c r="A35" s="232">
        <v>3</v>
      </c>
      <c r="B35" s="104"/>
      <c r="C35" s="246"/>
      <c r="D35" s="246" t="s">
        <v>1</v>
      </c>
      <c r="E35" s="246" t="s">
        <v>1</v>
      </c>
      <c r="F35" s="246"/>
      <c r="G35" s="104"/>
      <c r="H35" s="232"/>
      <c r="I35" s="232"/>
      <c r="J35" s="232"/>
      <c r="K35" s="246">
        <f>H35+I35+J35</f>
        <v>0</v>
      </c>
      <c r="L35" s="246"/>
      <c r="M35" s="104"/>
      <c r="N35" s="232"/>
      <c r="O35" s="232"/>
      <c r="P35" s="232"/>
      <c r="Q35" s="246">
        <f>N35+O35+P35</f>
        <v>0</v>
      </c>
      <c r="R35" s="246">
        <f t="shared" si="7"/>
        <v>0</v>
      </c>
      <c r="S35" s="246">
        <f t="shared" si="7"/>
        <v>0</v>
      </c>
      <c r="T35" s="246">
        <f t="shared" si="7"/>
        <v>0</v>
      </c>
      <c r="U35" s="246">
        <f t="shared" si="7"/>
        <v>0</v>
      </c>
      <c r="V35" s="246">
        <f>S35+T35+U35</f>
        <v>0</v>
      </c>
      <c r="W35" s="104"/>
      <c r="X35" s="232"/>
      <c r="Y35" s="232"/>
      <c r="Z35" s="232"/>
      <c r="AA35" s="246">
        <f>X35+Y35+Z35</f>
        <v>0</v>
      </c>
      <c r="AB35" s="104"/>
      <c r="AC35" s="232"/>
      <c r="AD35" s="232"/>
      <c r="AE35" s="232"/>
      <c r="AF35" s="246">
        <f>AC35+AD35+AE35</f>
        <v>0</v>
      </c>
    </row>
    <row r="36" spans="1:32" s="249" customFormat="1" ht="14.25">
      <c r="A36" s="244"/>
      <c r="B36" s="247" t="s">
        <v>110</v>
      </c>
      <c r="C36" s="248" t="s">
        <v>1</v>
      </c>
      <c r="D36" s="248" t="s">
        <v>1</v>
      </c>
      <c r="E36" s="248" t="s">
        <v>1</v>
      </c>
      <c r="F36" s="248" t="s">
        <v>1</v>
      </c>
      <c r="G36" s="248">
        <f>SUM(G33:G35)</f>
        <v>0</v>
      </c>
      <c r="H36" s="248">
        <f>SUM(H33:H35)</f>
        <v>0</v>
      </c>
      <c r="I36" s="248">
        <f>SUM(I33:I35)</f>
        <v>0</v>
      </c>
      <c r="J36" s="248">
        <f>SUM(J33:J35)</f>
        <v>0</v>
      </c>
      <c r="K36" s="248">
        <f>SUM(K33:K35)</f>
        <v>0</v>
      </c>
      <c r="L36" s="248" t="s">
        <v>1</v>
      </c>
      <c r="M36" s="248">
        <f aca="true" t="shared" si="8" ref="M36:AF36">SUM(M33:M35)</f>
        <v>0</v>
      </c>
      <c r="N36" s="248">
        <f t="shared" si="8"/>
        <v>0</v>
      </c>
      <c r="O36" s="248">
        <f t="shared" si="8"/>
        <v>0</v>
      </c>
      <c r="P36" s="248">
        <f t="shared" si="8"/>
        <v>0</v>
      </c>
      <c r="Q36" s="248">
        <f t="shared" si="8"/>
        <v>0</v>
      </c>
      <c r="R36" s="248">
        <f t="shared" si="8"/>
        <v>0</v>
      </c>
      <c r="S36" s="248">
        <f t="shared" si="8"/>
        <v>0</v>
      </c>
      <c r="T36" s="248">
        <f t="shared" si="8"/>
        <v>0</v>
      </c>
      <c r="U36" s="248">
        <f t="shared" si="8"/>
        <v>0</v>
      </c>
      <c r="V36" s="248">
        <f t="shared" si="8"/>
        <v>0</v>
      </c>
      <c r="W36" s="248">
        <f t="shared" si="8"/>
        <v>0</v>
      </c>
      <c r="X36" s="248">
        <f t="shared" si="8"/>
        <v>0</v>
      </c>
      <c r="Y36" s="248">
        <f t="shared" si="8"/>
        <v>0</v>
      </c>
      <c r="Z36" s="248">
        <f t="shared" si="8"/>
        <v>0</v>
      </c>
      <c r="AA36" s="248">
        <f t="shared" si="8"/>
        <v>0</v>
      </c>
      <c r="AB36" s="248">
        <f t="shared" si="8"/>
        <v>0</v>
      </c>
      <c r="AC36" s="248">
        <f t="shared" si="8"/>
        <v>0</v>
      </c>
      <c r="AD36" s="248">
        <f t="shared" si="8"/>
        <v>0</v>
      </c>
      <c r="AE36" s="248">
        <f t="shared" si="8"/>
        <v>0</v>
      </c>
      <c r="AF36" s="248">
        <f t="shared" si="8"/>
        <v>0</v>
      </c>
    </row>
    <row r="37" spans="1:32" ht="13.5">
      <c r="A37" s="232"/>
      <c r="B37" s="104"/>
      <c r="C37" s="246"/>
      <c r="D37" s="246"/>
      <c r="E37" s="246"/>
      <c r="F37" s="246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  <c r="AF37" s="104"/>
    </row>
    <row r="38" spans="1:32" s="249" customFormat="1" ht="27">
      <c r="A38" s="244"/>
      <c r="B38" s="245" t="s">
        <v>308</v>
      </c>
      <c r="C38" s="248" t="s">
        <v>1</v>
      </c>
      <c r="D38" s="248" t="s">
        <v>1</v>
      </c>
      <c r="E38" s="248" t="s">
        <v>1</v>
      </c>
      <c r="F38" s="248" t="s">
        <v>1</v>
      </c>
      <c r="G38" s="248">
        <f>G13+G28+G36</f>
        <v>0</v>
      </c>
      <c r="H38" s="248">
        <f aca="true" t="shared" si="9" ref="H38:AF38">H13+H28+H36</f>
        <v>0</v>
      </c>
      <c r="I38" s="248">
        <f t="shared" si="9"/>
        <v>0</v>
      </c>
      <c r="J38" s="248">
        <f t="shared" si="9"/>
        <v>0</v>
      </c>
      <c r="K38" s="248">
        <f t="shared" si="9"/>
        <v>0</v>
      </c>
      <c r="L38" s="248" t="e">
        <f t="shared" si="9"/>
        <v>#VALUE!</v>
      </c>
      <c r="M38" s="248">
        <f t="shared" si="9"/>
        <v>0</v>
      </c>
      <c r="N38" s="248">
        <f t="shared" si="9"/>
        <v>0</v>
      </c>
      <c r="O38" s="248">
        <f t="shared" si="9"/>
        <v>0</v>
      </c>
      <c r="P38" s="248">
        <f t="shared" si="9"/>
        <v>0</v>
      </c>
      <c r="Q38" s="248">
        <f t="shared" si="9"/>
        <v>0</v>
      </c>
      <c r="R38" s="248">
        <f t="shared" si="9"/>
        <v>0</v>
      </c>
      <c r="S38" s="248">
        <f t="shared" si="9"/>
        <v>0</v>
      </c>
      <c r="T38" s="248">
        <f t="shared" si="9"/>
        <v>0</v>
      </c>
      <c r="U38" s="248">
        <f t="shared" si="9"/>
        <v>0</v>
      </c>
      <c r="V38" s="248">
        <f t="shared" si="9"/>
        <v>0</v>
      </c>
      <c r="W38" s="248">
        <f t="shared" si="9"/>
        <v>0</v>
      </c>
      <c r="X38" s="248">
        <f t="shared" si="9"/>
        <v>0</v>
      </c>
      <c r="Y38" s="248">
        <f t="shared" si="9"/>
        <v>0</v>
      </c>
      <c r="Z38" s="248">
        <f t="shared" si="9"/>
        <v>0</v>
      </c>
      <c r="AA38" s="248">
        <f t="shared" si="9"/>
        <v>0</v>
      </c>
      <c r="AB38" s="248">
        <f t="shared" si="9"/>
        <v>0</v>
      </c>
      <c r="AC38" s="248">
        <f t="shared" si="9"/>
        <v>0</v>
      </c>
      <c r="AD38" s="248">
        <f t="shared" si="9"/>
        <v>0</v>
      </c>
      <c r="AE38" s="248">
        <f t="shared" si="9"/>
        <v>0</v>
      </c>
      <c r="AF38" s="248">
        <f t="shared" si="9"/>
        <v>0</v>
      </c>
    </row>
    <row r="39" spans="1:20" s="16" customFormat="1" ht="12.75">
      <c r="A39" s="43"/>
      <c r="B39" s="253"/>
      <c r="C39" s="254"/>
      <c r="D39" s="43"/>
      <c r="E39" s="43"/>
      <c r="F39" s="43"/>
      <c r="G39" s="253"/>
      <c r="H39" s="43"/>
      <c r="I39" s="43"/>
      <c r="J39" s="43"/>
      <c r="K39" s="43"/>
      <c r="L39" s="43"/>
      <c r="M39" s="253"/>
      <c r="N39" s="43" t="s">
        <v>0</v>
      </c>
      <c r="O39" s="43"/>
      <c r="P39" s="43"/>
      <c r="Q39" s="253"/>
      <c r="R39" s="43" t="s">
        <v>0</v>
      </c>
      <c r="S39" s="253"/>
      <c r="T39" s="43" t="s">
        <v>0</v>
      </c>
    </row>
    <row r="40" s="33" customFormat="1" ht="13.5">
      <c r="A40" s="32"/>
    </row>
    <row r="41" ht="13.5">
      <c r="B41" s="5" t="s">
        <v>230</v>
      </c>
    </row>
    <row r="42" spans="2:7" ht="27.75" customHeight="1">
      <c r="B42" s="191" t="s">
        <v>420</v>
      </c>
      <c r="C42" s="191"/>
      <c r="D42" s="324"/>
      <c r="E42" s="324"/>
      <c r="F42" s="324"/>
      <c r="G42" s="324"/>
    </row>
    <row r="43" spans="2:9" ht="37.5" customHeight="1">
      <c r="B43" s="963" t="s">
        <v>419</v>
      </c>
      <c r="C43" s="964"/>
      <c r="D43" s="964"/>
      <c r="E43" s="964"/>
      <c r="F43" s="964"/>
      <c r="G43" s="964"/>
      <c r="H43" s="964"/>
      <c r="I43" s="964"/>
    </row>
    <row r="44" spans="2:7" ht="22.5" customHeight="1">
      <c r="B44" s="592" t="s">
        <v>486</v>
      </c>
      <c r="C44" s="324"/>
      <c r="D44" s="324"/>
      <c r="E44" s="324"/>
      <c r="F44" s="324"/>
      <c r="G44" s="324"/>
    </row>
    <row r="45" spans="1:8" s="33" customFormat="1" ht="33" customHeight="1">
      <c r="A45" s="32"/>
      <c r="B45" s="965" t="s">
        <v>498</v>
      </c>
      <c r="C45" s="965"/>
      <c r="D45" s="965"/>
      <c r="E45" s="965"/>
      <c r="F45" s="965"/>
      <c r="G45" s="965"/>
      <c r="H45" s="965"/>
    </row>
  </sheetData>
  <sheetProtection/>
  <mergeCells count="6">
    <mergeCell ref="M5:Q5"/>
    <mergeCell ref="R5:V5"/>
    <mergeCell ref="B43:I43"/>
    <mergeCell ref="W5:AA5"/>
    <mergeCell ref="AB5:AF5"/>
    <mergeCell ref="B45:H4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11"/>
  <sheetViews>
    <sheetView zoomScalePageLayoutView="0" workbookViewId="0" topLeftCell="A178">
      <selection activeCell="H68" sqref="H68"/>
    </sheetView>
  </sheetViews>
  <sheetFormatPr defaultColWidth="9.140625" defaultRowHeight="12.75"/>
  <cols>
    <col min="1" max="1" width="4.8515625" style="4" customWidth="1"/>
    <col min="2" max="2" width="49.421875" style="5" customWidth="1"/>
    <col min="3" max="3" width="11.57421875" style="5" customWidth="1"/>
    <col min="4" max="4" width="10.28125" style="5" customWidth="1"/>
    <col min="5" max="5" width="20.7109375" style="5" customWidth="1"/>
    <col min="6" max="6" width="8.140625" style="5" bestFit="1" customWidth="1"/>
    <col min="7" max="7" width="20.8515625" style="5" customWidth="1"/>
    <col min="8" max="8" width="8.140625" style="5" bestFit="1" customWidth="1"/>
    <col min="9" max="9" width="21.00390625" style="5" customWidth="1"/>
    <col min="10" max="10" width="13.57421875" style="5" customWidth="1"/>
    <col min="11" max="16384" width="9.140625" style="5" customWidth="1"/>
  </cols>
  <sheetData>
    <row r="1" spans="1:9" s="33" customFormat="1" ht="13.5">
      <c r="A1" s="340"/>
      <c r="B1" s="3"/>
      <c r="C1" s="3"/>
      <c r="D1" s="3"/>
      <c r="E1" s="124"/>
      <c r="F1" s="124"/>
      <c r="G1" s="32"/>
      <c r="H1" s="32"/>
      <c r="I1" s="137" t="s">
        <v>383</v>
      </c>
    </row>
    <row r="2" spans="1:9" s="33" customFormat="1" ht="12.75" customHeight="1">
      <c r="A2" s="340"/>
      <c r="B2" s="3"/>
      <c r="C2" s="3"/>
      <c r="D2" s="3"/>
      <c r="E2" s="124"/>
      <c r="F2" s="124"/>
      <c r="G2" s="902" t="s">
        <v>27</v>
      </c>
      <c r="H2" s="902"/>
      <c r="I2" s="902"/>
    </row>
    <row r="3" spans="1:9" s="33" customFormat="1" ht="68.25" customHeight="1" thickBot="1">
      <c r="A3" s="32"/>
      <c r="B3" s="883" t="s">
        <v>1145</v>
      </c>
      <c r="C3" s="908" t="s">
        <v>1151</v>
      </c>
      <c r="D3" s="908"/>
      <c r="E3" s="908"/>
      <c r="F3" s="908"/>
      <c r="G3" s="908"/>
      <c r="H3" s="908"/>
      <c r="I3" s="908"/>
    </row>
    <row r="4" spans="1:12" s="191" customFormat="1" ht="17.25" customHeight="1">
      <c r="A4" s="32"/>
      <c r="B4" s="537" t="s">
        <v>28</v>
      </c>
      <c r="E4" s="530"/>
      <c r="F4" s="582"/>
      <c r="G4" s="190"/>
      <c r="H4" s="190"/>
      <c r="I4" s="190"/>
      <c r="J4" s="190"/>
      <c r="K4" s="190"/>
      <c r="L4" s="190"/>
    </row>
    <row r="5" spans="1:9" s="33" customFormat="1" ht="54.75" customHeight="1">
      <c r="A5" s="538" t="s">
        <v>505</v>
      </c>
      <c r="B5" s="544"/>
      <c r="C5" s="531"/>
      <c r="D5" s="531"/>
      <c r="E5" s="531"/>
      <c r="F5" s="531"/>
      <c r="G5" s="531"/>
      <c r="H5" s="531"/>
      <c r="I5" s="138"/>
    </row>
    <row r="6" spans="1:8" s="33" customFormat="1" ht="14.25" thickBot="1">
      <c r="A6" s="32"/>
      <c r="G6" s="481" t="s">
        <v>356</v>
      </c>
      <c r="H6" s="491"/>
    </row>
    <row r="7" spans="1:9" s="92" customFormat="1" ht="46.5" customHeight="1" thickBot="1">
      <c r="A7" s="532"/>
      <c r="B7" s="533"/>
      <c r="C7" s="534"/>
      <c r="D7" s="904" t="s">
        <v>506</v>
      </c>
      <c r="E7" s="905"/>
      <c r="F7" s="904" t="s">
        <v>507</v>
      </c>
      <c r="G7" s="905"/>
      <c r="H7" s="906" t="s">
        <v>508</v>
      </c>
      <c r="I7" s="907"/>
    </row>
    <row r="8" spans="1:9" s="120" customFormat="1" ht="55.5" customHeight="1" thickBot="1">
      <c r="A8" s="535" t="s">
        <v>5</v>
      </c>
      <c r="B8" s="532" t="s">
        <v>372</v>
      </c>
      <c r="C8" s="536" t="s">
        <v>382</v>
      </c>
      <c r="D8" s="525" t="s">
        <v>189</v>
      </c>
      <c r="E8" s="517" t="s">
        <v>405</v>
      </c>
      <c r="F8" s="525" t="s">
        <v>189</v>
      </c>
      <c r="G8" s="525" t="s">
        <v>405</v>
      </c>
      <c r="H8" s="525" t="s">
        <v>189</v>
      </c>
      <c r="I8" s="583" t="s">
        <v>405</v>
      </c>
    </row>
    <row r="9" spans="1:9" s="123" customFormat="1" ht="13.5" thickBot="1">
      <c r="A9" s="215">
        <v>1</v>
      </c>
      <c r="B9" s="545">
        <v>2</v>
      </c>
      <c r="C9" s="214">
        <v>3</v>
      </c>
      <c r="D9" s="216">
        <v>4</v>
      </c>
      <c r="E9" s="216">
        <v>5</v>
      </c>
      <c r="F9" s="216">
        <v>6</v>
      </c>
      <c r="G9" s="216">
        <v>7</v>
      </c>
      <c r="H9" s="216">
        <v>8</v>
      </c>
      <c r="I9" s="216">
        <v>9</v>
      </c>
    </row>
    <row r="10" spans="1:9" s="217" customFormat="1" ht="22.5" customHeight="1">
      <c r="A10" s="526">
        <v>1</v>
      </c>
      <c r="B10" s="546" t="s">
        <v>39</v>
      </c>
      <c r="C10" s="527">
        <v>4212</v>
      </c>
      <c r="D10" s="527"/>
      <c r="E10" s="528">
        <f>SUM(E13:E15)</f>
        <v>26476.2</v>
      </c>
      <c r="F10" s="528"/>
      <c r="G10" s="528">
        <f>SUM(G13:G15)</f>
        <v>34872.2</v>
      </c>
      <c r="H10" s="528">
        <f>F10-D10</f>
        <v>0</v>
      </c>
      <c r="I10" s="528">
        <f>G10-E10</f>
        <v>8395.999999999996</v>
      </c>
    </row>
    <row r="11" spans="1:9" s="42" customFormat="1" ht="13.5">
      <c r="A11" s="81"/>
      <c r="B11" s="529" t="s">
        <v>148</v>
      </c>
      <c r="C11" s="81"/>
      <c r="D11" s="81"/>
      <c r="E11" s="83"/>
      <c r="F11" s="83"/>
      <c r="G11" s="113"/>
      <c r="H11" s="113"/>
      <c r="I11" s="113"/>
    </row>
    <row r="12" spans="1:9" s="42" customFormat="1" ht="13.5">
      <c r="A12" s="81"/>
      <c r="B12" s="547" t="s">
        <v>389</v>
      </c>
      <c r="C12" s="81"/>
      <c r="D12" s="81"/>
      <c r="E12" s="83"/>
      <c r="F12" s="83"/>
      <c r="G12" s="113"/>
      <c r="H12" s="113"/>
      <c r="I12" s="113"/>
    </row>
    <row r="13" spans="1:9" s="42" customFormat="1" ht="13.5">
      <c r="A13" s="81">
        <v>1</v>
      </c>
      <c r="B13" s="548" t="s">
        <v>1013</v>
      </c>
      <c r="C13" s="81" t="s">
        <v>1</v>
      </c>
      <c r="D13" s="81">
        <v>1</v>
      </c>
      <c r="E13" s="83">
        <v>23588.7</v>
      </c>
      <c r="F13" s="83"/>
      <c r="G13" s="83">
        <v>32334.2</v>
      </c>
      <c r="H13" s="83">
        <f aca="true" t="shared" si="0" ref="H13:I16">F13-D13</f>
        <v>-1</v>
      </c>
      <c r="I13" s="83">
        <f t="shared" si="0"/>
        <v>8745.5</v>
      </c>
    </row>
    <row r="14" spans="1:9" s="42" customFormat="1" ht="13.5">
      <c r="A14" s="81">
        <v>2</v>
      </c>
      <c r="B14" s="548" t="s">
        <v>1014</v>
      </c>
      <c r="C14" s="81" t="s">
        <v>1</v>
      </c>
      <c r="D14" s="81">
        <v>1</v>
      </c>
      <c r="E14" s="83">
        <v>2887.5</v>
      </c>
      <c r="F14" s="83"/>
      <c r="G14" s="83">
        <v>2538</v>
      </c>
      <c r="H14" s="83">
        <f t="shared" si="0"/>
        <v>-1</v>
      </c>
      <c r="I14" s="83">
        <f t="shared" si="0"/>
        <v>-349.5</v>
      </c>
    </row>
    <row r="15" spans="1:9" s="42" customFormat="1" ht="13.5">
      <c r="A15" s="81">
        <v>3</v>
      </c>
      <c r="B15" s="548"/>
      <c r="C15" s="81" t="s">
        <v>1</v>
      </c>
      <c r="D15" s="81"/>
      <c r="E15" s="83"/>
      <c r="F15" s="83"/>
      <c r="G15" s="83"/>
      <c r="H15" s="83">
        <f t="shared" si="0"/>
        <v>0</v>
      </c>
      <c r="I15" s="83">
        <f t="shared" si="0"/>
        <v>0</v>
      </c>
    </row>
    <row r="16" spans="1:9" s="217" customFormat="1" ht="23.25" customHeight="1">
      <c r="A16" s="526">
        <v>2</v>
      </c>
      <c r="B16" s="546" t="s">
        <v>40</v>
      </c>
      <c r="C16" s="527">
        <v>4213</v>
      </c>
      <c r="D16" s="527"/>
      <c r="E16" s="528">
        <f>SUM(E19:E21)</f>
        <v>459.5</v>
      </c>
      <c r="F16" s="528"/>
      <c r="G16" s="528">
        <f>SUM(G19:G21)</f>
        <v>459.5</v>
      </c>
      <c r="H16" s="528">
        <f t="shared" si="0"/>
        <v>0</v>
      </c>
      <c r="I16" s="528">
        <f t="shared" si="0"/>
        <v>0</v>
      </c>
    </row>
    <row r="17" spans="1:9" s="42" customFormat="1" ht="13.5">
      <c r="A17" s="218"/>
      <c r="B17" s="529" t="s">
        <v>148</v>
      </c>
      <c r="C17" s="81"/>
      <c r="D17" s="81"/>
      <c r="E17" s="83"/>
      <c r="F17" s="83"/>
      <c r="G17" s="113"/>
      <c r="H17" s="113"/>
      <c r="I17" s="113"/>
    </row>
    <row r="18" spans="1:9" s="42" customFormat="1" ht="13.5">
      <c r="A18" s="543"/>
      <c r="B18" s="547" t="s">
        <v>389</v>
      </c>
      <c r="C18" s="81"/>
      <c r="D18" s="81"/>
      <c r="E18" s="83"/>
      <c r="F18" s="83"/>
      <c r="G18" s="113"/>
      <c r="H18" s="113"/>
      <c r="I18" s="113"/>
    </row>
    <row r="19" spans="1:9" s="42" customFormat="1" ht="13.5">
      <c r="A19" s="81">
        <v>1</v>
      </c>
      <c r="B19" s="741" t="s">
        <v>1015</v>
      </c>
      <c r="C19" s="81" t="s">
        <v>1</v>
      </c>
      <c r="D19" s="81">
        <v>1</v>
      </c>
      <c r="E19" s="83">
        <v>153</v>
      </c>
      <c r="F19" s="83">
        <v>1</v>
      </c>
      <c r="G19" s="83">
        <f>E19</f>
        <v>153</v>
      </c>
      <c r="H19" s="83">
        <f aca="true" t="shared" si="1" ref="H19:I22">F19-D19</f>
        <v>0</v>
      </c>
      <c r="I19" s="83">
        <f t="shared" si="1"/>
        <v>0</v>
      </c>
    </row>
    <row r="20" spans="1:9" s="42" customFormat="1" ht="27">
      <c r="A20" s="81">
        <v>2</v>
      </c>
      <c r="B20" s="741" t="s">
        <v>1016</v>
      </c>
      <c r="C20" s="81" t="s">
        <v>1</v>
      </c>
      <c r="D20" s="81">
        <v>1</v>
      </c>
      <c r="E20" s="83">
        <v>306.5</v>
      </c>
      <c r="F20" s="83">
        <v>1</v>
      </c>
      <c r="G20" s="83">
        <f>E20</f>
        <v>306.5</v>
      </c>
      <c r="H20" s="83">
        <f t="shared" si="1"/>
        <v>0</v>
      </c>
      <c r="I20" s="83">
        <f t="shared" si="1"/>
        <v>0</v>
      </c>
    </row>
    <row r="21" spans="1:9" s="42" customFormat="1" ht="13.5">
      <c r="A21" s="81">
        <v>3</v>
      </c>
      <c r="B21" s="548"/>
      <c r="C21" s="81" t="s">
        <v>1</v>
      </c>
      <c r="D21" s="81"/>
      <c r="E21" s="83"/>
      <c r="F21" s="83"/>
      <c r="G21" s="83"/>
      <c r="H21" s="83">
        <f t="shared" si="1"/>
        <v>0</v>
      </c>
      <c r="I21" s="83">
        <f t="shared" si="1"/>
        <v>0</v>
      </c>
    </row>
    <row r="22" spans="1:9" s="217" customFormat="1" ht="23.25" customHeight="1">
      <c r="A22" s="526">
        <v>3</v>
      </c>
      <c r="B22" s="546" t="s">
        <v>42</v>
      </c>
      <c r="C22" s="527">
        <v>4214</v>
      </c>
      <c r="D22" s="527"/>
      <c r="E22" s="528">
        <f>SUM(E25:E27)</f>
        <v>20068</v>
      </c>
      <c r="F22" s="528"/>
      <c r="G22" s="528">
        <f>SUM(G25:G27)</f>
        <v>18544.2</v>
      </c>
      <c r="H22" s="528">
        <f t="shared" si="1"/>
        <v>0</v>
      </c>
      <c r="I22" s="528">
        <f t="shared" si="1"/>
        <v>-1523.7999999999993</v>
      </c>
    </row>
    <row r="23" spans="1:9" s="42" customFormat="1" ht="13.5">
      <c r="A23" s="218"/>
      <c r="B23" s="529" t="s">
        <v>148</v>
      </c>
      <c r="C23" s="81"/>
      <c r="D23" s="81"/>
      <c r="E23" s="83"/>
      <c r="F23" s="83"/>
      <c r="G23" s="113"/>
      <c r="H23" s="113"/>
      <c r="I23" s="113"/>
    </row>
    <row r="24" spans="1:9" s="42" customFormat="1" ht="13.5">
      <c r="A24" s="543"/>
      <c r="B24" s="547" t="s">
        <v>389</v>
      </c>
      <c r="C24" s="81"/>
      <c r="D24" s="81"/>
      <c r="E24" s="83"/>
      <c r="F24" s="83"/>
      <c r="G24" s="113"/>
      <c r="H24" s="113"/>
      <c r="I24" s="113"/>
    </row>
    <row r="25" spans="1:9" s="42" customFormat="1" ht="13.5">
      <c r="A25" s="81">
        <v>1</v>
      </c>
      <c r="B25" s="548" t="s">
        <v>1017</v>
      </c>
      <c r="C25" s="81" t="s">
        <v>1</v>
      </c>
      <c r="D25" s="81">
        <v>1</v>
      </c>
      <c r="E25" s="83">
        <v>6143</v>
      </c>
      <c r="F25" s="81">
        <v>1</v>
      </c>
      <c r="G25" s="83">
        <v>6143</v>
      </c>
      <c r="H25" s="83">
        <f aca="true" t="shared" si="2" ref="H25:I28">F25-D25</f>
        <v>0</v>
      </c>
      <c r="I25" s="83">
        <f t="shared" si="2"/>
        <v>0</v>
      </c>
    </row>
    <row r="26" spans="1:9" s="42" customFormat="1" ht="13.5">
      <c r="A26" s="81">
        <v>2</v>
      </c>
      <c r="B26" s="548" t="s">
        <v>612</v>
      </c>
      <c r="C26" s="81" t="s">
        <v>1</v>
      </c>
      <c r="D26" s="81">
        <v>1</v>
      </c>
      <c r="E26" s="83">
        <v>120</v>
      </c>
      <c r="F26" s="81">
        <v>1</v>
      </c>
      <c r="G26" s="83">
        <v>120</v>
      </c>
      <c r="H26" s="83">
        <f t="shared" si="2"/>
        <v>0</v>
      </c>
      <c r="I26" s="83">
        <f t="shared" si="2"/>
        <v>0</v>
      </c>
    </row>
    <row r="27" spans="1:9" s="42" customFormat="1" ht="13.5">
      <c r="A27" s="81">
        <v>3</v>
      </c>
      <c r="B27" s="548" t="s">
        <v>1018</v>
      </c>
      <c r="C27" s="81" t="s">
        <v>1</v>
      </c>
      <c r="D27" s="81">
        <v>1</v>
      </c>
      <c r="E27" s="83">
        <v>13805</v>
      </c>
      <c r="F27" s="81">
        <v>1</v>
      </c>
      <c r="G27" s="83">
        <v>12281.2</v>
      </c>
      <c r="H27" s="83">
        <f t="shared" si="2"/>
        <v>0</v>
      </c>
      <c r="I27" s="83">
        <f t="shared" si="2"/>
        <v>-1523.7999999999993</v>
      </c>
    </row>
    <row r="28" spans="1:9" s="217" customFormat="1" ht="23.25" customHeight="1">
      <c r="A28" s="526" t="s">
        <v>311</v>
      </c>
      <c r="B28" s="546" t="s">
        <v>43</v>
      </c>
      <c r="C28" s="527">
        <v>4215</v>
      </c>
      <c r="D28" s="527"/>
      <c r="E28" s="528">
        <f>SUM(E31:E33)</f>
        <v>250</v>
      </c>
      <c r="F28" s="528"/>
      <c r="G28" s="528">
        <f>SUM(G31:G33)</f>
        <v>250</v>
      </c>
      <c r="H28" s="528">
        <f t="shared" si="2"/>
        <v>0</v>
      </c>
      <c r="I28" s="528">
        <f t="shared" si="2"/>
        <v>0</v>
      </c>
    </row>
    <row r="29" spans="1:9" s="42" customFormat="1" ht="13.5">
      <c r="A29" s="218"/>
      <c r="B29" s="529" t="s">
        <v>148</v>
      </c>
      <c r="C29" s="81"/>
      <c r="D29" s="81"/>
      <c r="E29" s="83"/>
      <c r="F29" s="83"/>
      <c r="G29" s="113"/>
      <c r="H29" s="113"/>
      <c r="I29" s="113"/>
    </row>
    <row r="30" spans="1:9" s="42" customFormat="1" ht="13.5">
      <c r="A30" s="543"/>
      <c r="B30" s="547" t="s">
        <v>389</v>
      </c>
      <c r="C30" s="81"/>
      <c r="D30" s="81"/>
      <c r="E30" s="83"/>
      <c r="F30" s="83"/>
      <c r="G30" s="113"/>
      <c r="H30" s="113"/>
      <c r="I30" s="113"/>
    </row>
    <row r="31" spans="1:9" s="42" customFormat="1" ht="27">
      <c r="A31" s="81">
        <v>1</v>
      </c>
      <c r="B31" s="741" t="s">
        <v>1019</v>
      </c>
      <c r="C31" s="81" t="s">
        <v>1</v>
      </c>
      <c r="D31" s="81">
        <v>1</v>
      </c>
      <c r="E31" s="83">
        <v>250</v>
      </c>
      <c r="F31" s="81">
        <v>1</v>
      </c>
      <c r="G31" s="83">
        <v>250</v>
      </c>
      <c r="H31" s="83">
        <f aca="true" t="shared" si="3" ref="H31:I34">F31-D31</f>
        <v>0</v>
      </c>
      <c r="I31" s="83">
        <f t="shared" si="3"/>
        <v>0</v>
      </c>
    </row>
    <row r="32" spans="1:9" s="42" customFormat="1" ht="13.5">
      <c r="A32" s="81">
        <v>2</v>
      </c>
      <c r="B32" s="548"/>
      <c r="C32" s="81" t="s">
        <v>1</v>
      </c>
      <c r="D32" s="81"/>
      <c r="E32" s="83"/>
      <c r="F32" s="83"/>
      <c r="G32" s="83"/>
      <c r="H32" s="83">
        <f t="shared" si="3"/>
        <v>0</v>
      </c>
      <c r="I32" s="83">
        <f t="shared" si="3"/>
        <v>0</v>
      </c>
    </row>
    <row r="33" spans="1:9" s="42" customFormat="1" ht="13.5">
      <c r="A33" s="81">
        <v>3</v>
      </c>
      <c r="B33" s="548"/>
      <c r="C33" s="81" t="s">
        <v>1</v>
      </c>
      <c r="D33" s="81"/>
      <c r="E33" s="83"/>
      <c r="F33" s="83"/>
      <c r="G33" s="83"/>
      <c r="H33" s="83">
        <f t="shared" si="3"/>
        <v>0</v>
      </c>
      <c r="I33" s="83">
        <f t="shared" si="3"/>
        <v>0</v>
      </c>
    </row>
    <row r="34" spans="1:9" s="217" customFormat="1" ht="23.25" customHeight="1">
      <c r="A34" s="526" t="s">
        <v>311</v>
      </c>
      <c r="B34" s="546" t="s">
        <v>44</v>
      </c>
      <c r="C34" s="527">
        <v>4216</v>
      </c>
      <c r="D34" s="527"/>
      <c r="E34" s="528">
        <f>SUM(E37:E38)</f>
        <v>521.9</v>
      </c>
      <c r="F34" s="528"/>
      <c r="G34" s="528">
        <f>SUM(G37:G38)</f>
        <v>521.9</v>
      </c>
      <c r="H34" s="528">
        <f t="shared" si="3"/>
        <v>0</v>
      </c>
      <c r="I34" s="528">
        <f t="shared" si="3"/>
        <v>0</v>
      </c>
    </row>
    <row r="35" spans="1:9" s="42" customFormat="1" ht="13.5">
      <c r="A35" s="218"/>
      <c r="B35" s="529" t="s">
        <v>148</v>
      </c>
      <c r="C35" s="81"/>
      <c r="D35" s="81"/>
      <c r="E35" s="83"/>
      <c r="F35" s="83"/>
      <c r="G35" s="113"/>
      <c r="H35" s="113"/>
      <c r="I35" s="113"/>
    </row>
    <row r="36" spans="1:9" s="42" customFormat="1" ht="13.5">
      <c r="A36" s="543"/>
      <c r="B36" s="547" t="s">
        <v>389</v>
      </c>
      <c r="C36" s="81"/>
      <c r="D36" s="81"/>
      <c r="E36" s="83"/>
      <c r="F36" s="83"/>
      <c r="G36" s="113"/>
      <c r="H36" s="113"/>
      <c r="I36" s="113"/>
    </row>
    <row r="37" spans="1:9" s="42" customFormat="1" ht="27">
      <c r="A37" s="81">
        <v>1</v>
      </c>
      <c r="B37" s="741" t="s">
        <v>1020</v>
      </c>
      <c r="C37" s="81" t="s">
        <v>1</v>
      </c>
      <c r="D37" s="81">
        <v>1</v>
      </c>
      <c r="E37" s="83">
        <v>521.9</v>
      </c>
      <c r="F37" s="81">
        <v>1</v>
      </c>
      <c r="G37" s="83">
        <v>521.9</v>
      </c>
      <c r="H37" s="83">
        <f aca="true" t="shared" si="4" ref="H37:I39">F37-D37</f>
        <v>0</v>
      </c>
      <c r="I37" s="83">
        <f t="shared" si="4"/>
        <v>0</v>
      </c>
    </row>
    <row r="38" spans="1:9" s="42" customFormat="1" ht="13.5">
      <c r="A38" s="81">
        <v>2</v>
      </c>
      <c r="B38" s="548"/>
      <c r="C38" s="81" t="s">
        <v>1</v>
      </c>
      <c r="D38" s="81"/>
      <c r="E38" s="83"/>
      <c r="F38" s="83"/>
      <c r="G38" s="83"/>
      <c r="H38" s="83">
        <f t="shared" si="4"/>
        <v>0</v>
      </c>
      <c r="I38" s="83">
        <f t="shared" si="4"/>
        <v>0</v>
      </c>
    </row>
    <row r="39" spans="1:9" s="217" customFormat="1" ht="23.25" customHeight="1">
      <c r="A39" s="526" t="s">
        <v>311</v>
      </c>
      <c r="B39" s="546" t="s">
        <v>45</v>
      </c>
      <c r="C39" s="527">
        <v>4217</v>
      </c>
      <c r="D39" s="527"/>
      <c r="E39" s="528">
        <f>SUM(E42:E44)</f>
        <v>0</v>
      </c>
      <c r="F39" s="528"/>
      <c r="G39" s="528">
        <f>SUM(G42:G44)</f>
        <v>0</v>
      </c>
      <c r="H39" s="528">
        <f t="shared" si="4"/>
        <v>0</v>
      </c>
      <c r="I39" s="528">
        <f t="shared" si="4"/>
        <v>0</v>
      </c>
    </row>
    <row r="40" spans="1:9" s="42" customFormat="1" ht="13.5">
      <c r="A40" s="218"/>
      <c r="B40" s="529" t="s">
        <v>148</v>
      </c>
      <c r="C40" s="81"/>
      <c r="D40" s="81"/>
      <c r="E40" s="83"/>
      <c r="F40" s="83"/>
      <c r="G40" s="113"/>
      <c r="H40" s="113"/>
      <c r="I40" s="113"/>
    </row>
    <row r="41" spans="1:9" s="42" customFormat="1" ht="13.5">
      <c r="A41" s="543"/>
      <c r="B41" s="547" t="s">
        <v>389</v>
      </c>
      <c r="C41" s="81"/>
      <c r="D41" s="81"/>
      <c r="E41" s="83"/>
      <c r="F41" s="83"/>
      <c r="G41" s="113"/>
      <c r="H41" s="113"/>
      <c r="I41" s="113"/>
    </row>
    <row r="42" spans="1:9" s="42" customFormat="1" ht="13.5">
      <c r="A42" s="81">
        <v>1</v>
      </c>
      <c r="B42" s="547"/>
      <c r="C42" s="81" t="s">
        <v>1</v>
      </c>
      <c r="D42" s="81"/>
      <c r="E42" s="83"/>
      <c r="F42" s="83"/>
      <c r="G42" s="83"/>
      <c r="H42" s="83">
        <f aca="true" t="shared" si="5" ref="H42:I45">F42-D42</f>
        <v>0</v>
      </c>
      <c r="I42" s="83">
        <f t="shared" si="5"/>
        <v>0</v>
      </c>
    </row>
    <row r="43" spans="1:9" s="42" customFormat="1" ht="13.5">
      <c r="A43" s="81">
        <v>2</v>
      </c>
      <c r="B43" s="548"/>
      <c r="C43" s="81" t="s">
        <v>1</v>
      </c>
      <c r="D43" s="81"/>
      <c r="E43" s="83"/>
      <c r="F43" s="83"/>
      <c r="G43" s="83"/>
      <c r="H43" s="83">
        <f t="shared" si="5"/>
        <v>0</v>
      </c>
      <c r="I43" s="83">
        <f t="shared" si="5"/>
        <v>0</v>
      </c>
    </row>
    <row r="44" spans="1:9" s="42" customFormat="1" ht="13.5">
      <c r="A44" s="81">
        <v>3</v>
      </c>
      <c r="B44" s="548"/>
      <c r="C44" s="81" t="s">
        <v>1</v>
      </c>
      <c r="D44" s="81"/>
      <c r="E44" s="83"/>
      <c r="F44" s="83"/>
      <c r="G44" s="83"/>
      <c r="H44" s="83">
        <f t="shared" si="5"/>
        <v>0</v>
      </c>
      <c r="I44" s="83">
        <f t="shared" si="5"/>
        <v>0</v>
      </c>
    </row>
    <row r="45" spans="1:9" s="217" customFormat="1" ht="23.25" customHeight="1">
      <c r="A45" s="526" t="s">
        <v>311</v>
      </c>
      <c r="B45" s="546" t="s">
        <v>48</v>
      </c>
      <c r="C45" s="527">
        <v>4231</v>
      </c>
      <c r="D45" s="527"/>
      <c r="E45" s="528">
        <f>SUM(E48:E50)</f>
        <v>1520</v>
      </c>
      <c r="F45" s="528"/>
      <c r="G45" s="528">
        <f>SUM(G48:G50)</f>
        <v>1520</v>
      </c>
      <c r="H45" s="528">
        <f t="shared" si="5"/>
        <v>0</v>
      </c>
      <c r="I45" s="528">
        <f t="shared" si="5"/>
        <v>0</v>
      </c>
    </row>
    <row r="46" spans="1:9" s="42" customFormat="1" ht="13.5">
      <c r="A46" s="218"/>
      <c r="B46" s="529" t="s">
        <v>148</v>
      </c>
      <c r="C46" s="81"/>
      <c r="D46" s="81"/>
      <c r="E46" s="83"/>
      <c r="F46" s="83"/>
      <c r="G46" s="113"/>
      <c r="H46" s="113"/>
      <c r="I46" s="113"/>
    </row>
    <row r="47" spans="1:9" s="42" customFormat="1" ht="13.5">
      <c r="A47" s="543"/>
      <c r="B47" s="547" t="s">
        <v>389</v>
      </c>
      <c r="C47" s="81"/>
      <c r="D47" s="81"/>
      <c r="E47" s="83"/>
      <c r="F47" s="83"/>
      <c r="G47" s="113"/>
      <c r="H47" s="113"/>
      <c r="I47" s="113"/>
    </row>
    <row r="48" spans="1:9" s="42" customFormat="1" ht="13.5">
      <c r="A48" s="81">
        <v>1</v>
      </c>
      <c r="B48" s="548" t="s">
        <v>1021</v>
      </c>
      <c r="C48" s="81" t="s">
        <v>1</v>
      </c>
      <c r="D48" s="81">
        <v>1</v>
      </c>
      <c r="E48" s="83">
        <v>500</v>
      </c>
      <c r="F48" s="83">
        <v>1</v>
      </c>
      <c r="G48" s="83">
        <f>E48</f>
        <v>500</v>
      </c>
      <c r="H48" s="83">
        <f aca="true" t="shared" si="6" ref="H48:I50">F48-D48</f>
        <v>0</v>
      </c>
      <c r="I48" s="83">
        <f t="shared" si="6"/>
        <v>0</v>
      </c>
    </row>
    <row r="49" spans="1:9" s="42" customFormat="1" ht="13.5">
      <c r="A49" s="81">
        <v>2</v>
      </c>
      <c r="B49" s="548" t="s">
        <v>1021</v>
      </c>
      <c r="C49" s="81" t="s">
        <v>1</v>
      </c>
      <c r="D49" s="81">
        <v>1</v>
      </c>
      <c r="E49" s="83">
        <v>300</v>
      </c>
      <c r="F49" s="83">
        <v>1</v>
      </c>
      <c r="G49" s="83">
        <f>E49</f>
        <v>300</v>
      </c>
      <c r="H49" s="83">
        <f t="shared" si="6"/>
        <v>0</v>
      </c>
      <c r="I49" s="83">
        <f t="shared" si="6"/>
        <v>0</v>
      </c>
    </row>
    <row r="50" spans="1:9" s="42" customFormat="1" ht="13.5">
      <c r="A50" s="81">
        <v>3</v>
      </c>
      <c r="B50" s="548" t="s">
        <v>1022</v>
      </c>
      <c r="C50" s="81" t="s">
        <v>1</v>
      </c>
      <c r="D50" s="81">
        <v>1</v>
      </c>
      <c r="E50" s="83">
        <v>720</v>
      </c>
      <c r="F50" s="83">
        <v>1</v>
      </c>
      <c r="G50" s="83">
        <f>E50</f>
        <v>720</v>
      </c>
      <c r="H50" s="83">
        <f t="shared" si="6"/>
        <v>0</v>
      </c>
      <c r="I50" s="83">
        <f t="shared" si="6"/>
        <v>0</v>
      </c>
    </row>
    <row r="51" spans="1:9" s="217" customFormat="1" ht="23.25" customHeight="1">
      <c r="A51" s="526" t="s">
        <v>311</v>
      </c>
      <c r="B51" s="546" t="s">
        <v>49</v>
      </c>
      <c r="C51" s="527">
        <v>4232</v>
      </c>
      <c r="D51" s="527"/>
      <c r="E51" s="528">
        <f>SUM(E54:E65)</f>
        <v>183843</v>
      </c>
      <c r="F51" s="528"/>
      <c r="G51" s="528">
        <f>SUM(G54:G65)</f>
        <v>189538</v>
      </c>
      <c r="H51" s="528">
        <f>F51-D51</f>
        <v>0</v>
      </c>
      <c r="I51" s="528">
        <f>G51-E51</f>
        <v>5695</v>
      </c>
    </row>
    <row r="52" spans="1:9" s="42" customFormat="1" ht="13.5">
      <c r="A52" s="218"/>
      <c r="B52" s="529" t="s">
        <v>148</v>
      </c>
      <c r="C52" s="81"/>
      <c r="D52" s="81"/>
      <c r="E52" s="83"/>
      <c r="F52" s="83"/>
      <c r="G52" s="113"/>
      <c r="H52" s="113"/>
      <c r="I52" s="113"/>
    </row>
    <row r="53" spans="1:9" s="42" customFormat="1" ht="13.5">
      <c r="A53" s="543"/>
      <c r="B53" s="547" t="s">
        <v>389</v>
      </c>
      <c r="C53" s="81"/>
      <c r="D53" s="81"/>
      <c r="E53" s="83"/>
      <c r="F53" s="83"/>
      <c r="G53" s="113"/>
      <c r="H53" s="113"/>
      <c r="I53" s="113"/>
    </row>
    <row r="54" spans="1:9" s="42" customFormat="1" ht="67.5">
      <c r="A54" s="81">
        <v>1</v>
      </c>
      <c r="B54" s="741" t="s">
        <v>1023</v>
      </c>
      <c r="C54" s="81" t="s">
        <v>1</v>
      </c>
      <c r="D54" s="81">
        <v>1</v>
      </c>
      <c r="E54" s="846">
        <v>8500</v>
      </c>
      <c r="F54" s="83">
        <v>1</v>
      </c>
      <c r="G54" s="83">
        <f>E54</f>
        <v>8500</v>
      </c>
      <c r="H54" s="83">
        <f aca="true" t="shared" si="7" ref="H54:I69">F54-D54</f>
        <v>0</v>
      </c>
      <c r="I54" s="83">
        <f t="shared" si="7"/>
        <v>0</v>
      </c>
    </row>
    <row r="55" spans="1:9" s="42" customFormat="1" ht="40.5">
      <c r="A55" s="81">
        <v>2</v>
      </c>
      <c r="B55" s="845" t="s">
        <v>1024</v>
      </c>
      <c r="C55" s="81" t="s">
        <v>1</v>
      </c>
      <c r="D55" s="81">
        <v>1</v>
      </c>
      <c r="E55" s="846">
        <v>305</v>
      </c>
      <c r="F55" s="83"/>
      <c r="G55" s="83"/>
      <c r="H55" s="83">
        <f t="shared" si="7"/>
        <v>-1</v>
      </c>
      <c r="I55" s="83">
        <f t="shared" si="7"/>
        <v>-305</v>
      </c>
    </row>
    <row r="56" spans="1:9" s="42" customFormat="1" ht="40.5">
      <c r="A56" s="81">
        <v>3</v>
      </c>
      <c r="B56" s="741" t="s">
        <v>1024</v>
      </c>
      <c r="C56" s="81" t="s">
        <v>1</v>
      </c>
      <c r="D56" s="81">
        <v>1</v>
      </c>
      <c r="E56" s="846">
        <v>9600</v>
      </c>
      <c r="F56" s="83">
        <v>1</v>
      </c>
      <c r="G56" s="83">
        <f aca="true" t="shared" si="8" ref="G56:G63">E56</f>
        <v>9600</v>
      </c>
      <c r="H56" s="83">
        <f t="shared" si="7"/>
        <v>0</v>
      </c>
      <c r="I56" s="83">
        <f t="shared" si="7"/>
        <v>0</v>
      </c>
    </row>
    <row r="57" spans="1:9" s="42" customFormat="1" ht="40.5">
      <c r="A57" s="81"/>
      <c r="B57" s="741" t="s">
        <v>1024</v>
      </c>
      <c r="C57" s="81" t="s">
        <v>1</v>
      </c>
      <c r="D57" s="81">
        <v>1</v>
      </c>
      <c r="E57" s="846">
        <v>7600</v>
      </c>
      <c r="F57" s="83">
        <v>1</v>
      </c>
      <c r="G57" s="83">
        <f t="shared" si="8"/>
        <v>7600</v>
      </c>
      <c r="H57" s="83"/>
      <c r="I57" s="83">
        <f t="shared" si="7"/>
        <v>0</v>
      </c>
    </row>
    <row r="58" spans="1:9" s="42" customFormat="1" ht="40.5">
      <c r="A58" s="81"/>
      <c r="B58" s="741" t="s">
        <v>1025</v>
      </c>
      <c r="C58" s="81" t="s">
        <v>1</v>
      </c>
      <c r="D58" s="81">
        <v>1</v>
      </c>
      <c r="E58" s="846">
        <v>2304</v>
      </c>
      <c r="F58" s="83">
        <v>1</v>
      </c>
      <c r="G58" s="83">
        <f t="shared" si="8"/>
        <v>2304</v>
      </c>
      <c r="H58" s="83"/>
      <c r="I58" s="83">
        <f t="shared" si="7"/>
        <v>0</v>
      </c>
    </row>
    <row r="59" spans="1:9" s="42" customFormat="1" ht="40.5">
      <c r="A59" s="81"/>
      <c r="B59" s="741" t="s">
        <v>1024</v>
      </c>
      <c r="C59" s="81" t="s">
        <v>1</v>
      </c>
      <c r="D59" s="81">
        <v>1</v>
      </c>
      <c r="E59" s="846">
        <f>35484-11530</f>
        <v>23954</v>
      </c>
      <c r="F59" s="83">
        <v>1</v>
      </c>
      <c r="G59" s="83">
        <v>23954</v>
      </c>
      <c r="H59" s="83"/>
      <c r="I59" s="83">
        <f t="shared" si="7"/>
        <v>0</v>
      </c>
    </row>
    <row r="60" spans="1:9" s="42" customFormat="1" ht="40.5">
      <c r="A60" s="81"/>
      <c r="B60" s="741" t="s">
        <v>1026</v>
      </c>
      <c r="C60" s="81" t="s">
        <v>1</v>
      </c>
      <c r="D60" s="81">
        <v>1</v>
      </c>
      <c r="E60" s="846">
        <v>1680</v>
      </c>
      <c r="F60" s="83">
        <v>1</v>
      </c>
      <c r="G60" s="83">
        <f t="shared" si="8"/>
        <v>1680</v>
      </c>
      <c r="H60" s="83"/>
      <c r="I60" s="83">
        <f t="shared" si="7"/>
        <v>0</v>
      </c>
    </row>
    <row r="61" spans="1:9" s="42" customFormat="1" ht="13.5">
      <c r="A61" s="81"/>
      <c r="B61" s="741" t="s">
        <v>1027</v>
      </c>
      <c r="C61" s="81" t="s">
        <v>1</v>
      </c>
      <c r="D61" s="81">
        <v>1</v>
      </c>
      <c r="E61" s="846">
        <v>34500</v>
      </c>
      <c r="F61" s="83">
        <v>1</v>
      </c>
      <c r="G61" s="83">
        <f t="shared" si="8"/>
        <v>34500</v>
      </c>
      <c r="H61" s="83"/>
      <c r="I61" s="83">
        <f t="shared" si="7"/>
        <v>0</v>
      </c>
    </row>
    <row r="62" spans="1:9" s="42" customFormat="1" ht="40.5">
      <c r="A62" s="81"/>
      <c r="B62" s="741" t="s">
        <v>1028</v>
      </c>
      <c r="C62" s="81" t="s">
        <v>1</v>
      </c>
      <c r="D62" s="81">
        <v>1</v>
      </c>
      <c r="E62" s="846">
        <v>1440</v>
      </c>
      <c r="F62" s="83">
        <v>1</v>
      </c>
      <c r="G62" s="83">
        <f t="shared" si="8"/>
        <v>1440</v>
      </c>
      <c r="H62" s="83"/>
      <c r="I62" s="83">
        <f t="shared" si="7"/>
        <v>0</v>
      </c>
    </row>
    <row r="63" spans="1:9" s="42" customFormat="1" ht="54">
      <c r="A63" s="81"/>
      <c r="B63" s="741" t="s">
        <v>1029</v>
      </c>
      <c r="C63" s="81" t="s">
        <v>1</v>
      </c>
      <c r="D63" s="81">
        <v>1</v>
      </c>
      <c r="E63" s="846">
        <v>91411.2</v>
      </c>
      <c r="F63" s="83">
        <v>1</v>
      </c>
      <c r="G63" s="83">
        <f t="shared" si="8"/>
        <v>91411.2</v>
      </c>
      <c r="H63" s="83"/>
      <c r="I63" s="83">
        <f t="shared" si="7"/>
        <v>0</v>
      </c>
    </row>
    <row r="64" spans="1:9" s="42" customFormat="1" ht="27">
      <c r="A64" s="81"/>
      <c r="B64" s="741" t="s">
        <v>1030</v>
      </c>
      <c r="C64" s="81" t="s">
        <v>1</v>
      </c>
      <c r="D64" s="81">
        <v>1</v>
      </c>
      <c r="E64" s="846">
        <v>2548.8</v>
      </c>
      <c r="F64" s="83">
        <v>1</v>
      </c>
      <c r="G64" s="83">
        <v>2548.8</v>
      </c>
      <c r="H64" s="83"/>
      <c r="I64" s="83">
        <f t="shared" si="7"/>
        <v>0</v>
      </c>
    </row>
    <row r="65" spans="1:9" s="42" customFormat="1" ht="40.5">
      <c r="A65" s="81"/>
      <c r="B65" s="845" t="s">
        <v>1031</v>
      </c>
      <c r="C65" s="81" t="s">
        <v>1</v>
      </c>
      <c r="D65" s="847"/>
      <c r="E65" s="846"/>
      <c r="F65" s="846">
        <v>1</v>
      </c>
      <c r="G65" s="846">
        <v>6000</v>
      </c>
      <c r="H65" s="83"/>
      <c r="I65" s="83">
        <f t="shared" si="7"/>
        <v>6000</v>
      </c>
    </row>
    <row r="66" spans="1:9" s="42" customFormat="1" ht="45.75" customHeight="1">
      <c r="A66" s="526" t="s">
        <v>311</v>
      </c>
      <c r="B66" s="849" t="s">
        <v>1032</v>
      </c>
      <c r="C66" s="527">
        <v>4233</v>
      </c>
      <c r="D66" s="527"/>
      <c r="E66" s="528">
        <f>SUM(E68:E68)</f>
        <v>0</v>
      </c>
      <c r="F66" s="528"/>
      <c r="G66" s="528">
        <f>SUM(G68:G68)</f>
        <v>902</v>
      </c>
      <c r="H66" s="528">
        <f>F66-D66</f>
        <v>0</v>
      </c>
      <c r="I66" s="528">
        <f>G68-E68</f>
        <v>902</v>
      </c>
    </row>
    <row r="67" spans="1:9" s="42" customFormat="1" ht="12" customHeight="1">
      <c r="A67" s="81"/>
      <c r="B67" s="548"/>
      <c r="C67" s="81"/>
      <c r="D67" s="81"/>
      <c r="E67" s="83"/>
      <c r="F67" s="83"/>
      <c r="G67" s="83"/>
      <c r="H67" s="83"/>
      <c r="I67" s="83"/>
    </row>
    <row r="68" spans="1:9" s="42" customFormat="1" ht="26.25" customHeight="1">
      <c r="A68" s="81"/>
      <c r="B68" s="741" t="s">
        <v>1033</v>
      </c>
      <c r="C68" s="81" t="s">
        <v>1</v>
      </c>
      <c r="D68" s="81"/>
      <c r="E68" s="83"/>
      <c r="F68" s="83">
        <v>1</v>
      </c>
      <c r="G68" s="83">
        <v>902</v>
      </c>
      <c r="H68" s="83">
        <f>F68-D68</f>
        <v>1</v>
      </c>
      <c r="I68" s="83">
        <f>G68-E68</f>
        <v>902</v>
      </c>
    </row>
    <row r="69" spans="1:9" s="217" customFormat="1" ht="23.25" customHeight="1">
      <c r="A69" s="526" t="s">
        <v>311</v>
      </c>
      <c r="B69" s="546" t="s">
        <v>50</v>
      </c>
      <c r="C69" s="527">
        <v>4234</v>
      </c>
      <c r="D69" s="527"/>
      <c r="E69" s="528">
        <f>SUM(E72:E77)</f>
        <v>698.8</v>
      </c>
      <c r="F69" s="528"/>
      <c r="G69" s="528">
        <f>SUM(G72:G77)</f>
        <v>698.8</v>
      </c>
      <c r="H69" s="528">
        <f t="shared" si="7"/>
        <v>0</v>
      </c>
      <c r="I69" s="528">
        <f t="shared" si="7"/>
        <v>0</v>
      </c>
    </row>
    <row r="70" spans="1:9" s="42" customFormat="1" ht="13.5">
      <c r="A70" s="218"/>
      <c r="B70" s="529" t="s">
        <v>148</v>
      </c>
      <c r="C70" s="81"/>
      <c r="D70" s="81"/>
      <c r="E70" s="83"/>
      <c r="F70" s="83"/>
      <c r="G70" s="113"/>
      <c r="H70" s="113"/>
      <c r="I70" s="113"/>
    </row>
    <row r="71" spans="1:9" s="42" customFormat="1" ht="13.5">
      <c r="A71" s="543"/>
      <c r="B71" s="547" t="s">
        <v>389</v>
      </c>
      <c r="C71" s="81"/>
      <c r="D71" s="81"/>
      <c r="E71" s="83"/>
      <c r="F71" s="83"/>
      <c r="G71" s="113"/>
      <c r="H71" s="113"/>
      <c r="I71" s="113"/>
    </row>
    <row r="72" spans="1:9" s="42" customFormat="1" ht="13.5">
      <c r="A72" s="81">
        <v>1</v>
      </c>
      <c r="B72" s="548" t="s">
        <v>1034</v>
      </c>
      <c r="C72" s="81" t="s">
        <v>1</v>
      </c>
      <c r="D72" s="81">
        <v>260</v>
      </c>
      <c r="E72" s="848">
        <v>26</v>
      </c>
      <c r="F72" s="83"/>
      <c r="G72" s="83"/>
      <c r="H72" s="83">
        <f aca="true" t="shared" si="9" ref="H72:I77">F72-D72</f>
        <v>-260</v>
      </c>
      <c r="I72" s="83">
        <f t="shared" si="9"/>
        <v>-26</v>
      </c>
    </row>
    <row r="73" spans="1:9" s="42" customFormat="1" ht="13.5">
      <c r="A73" s="81">
        <v>2</v>
      </c>
      <c r="B73" s="548" t="s">
        <v>1034</v>
      </c>
      <c r="C73" s="81" t="s">
        <v>1</v>
      </c>
      <c r="D73" s="81">
        <v>52</v>
      </c>
      <c r="E73" s="848">
        <v>5.2</v>
      </c>
      <c r="F73" s="83"/>
      <c r="G73" s="83"/>
      <c r="H73" s="83">
        <f t="shared" si="9"/>
        <v>-52</v>
      </c>
      <c r="I73" s="83">
        <f t="shared" si="9"/>
        <v>-5.2</v>
      </c>
    </row>
    <row r="74" spans="1:9" s="42" customFormat="1" ht="13.5">
      <c r="A74" s="81">
        <v>3</v>
      </c>
      <c r="B74" s="548" t="s">
        <v>1034</v>
      </c>
      <c r="C74" s="81" t="s">
        <v>1</v>
      </c>
      <c r="D74" s="81">
        <v>260</v>
      </c>
      <c r="E74" s="848">
        <v>52</v>
      </c>
      <c r="F74" s="83"/>
      <c r="G74" s="83"/>
      <c r="H74" s="83">
        <f t="shared" si="9"/>
        <v>-260</v>
      </c>
      <c r="I74" s="83">
        <f t="shared" si="9"/>
        <v>-52</v>
      </c>
    </row>
    <row r="75" spans="1:9" ht="13.5">
      <c r="A75" s="72"/>
      <c r="B75" s="548" t="s">
        <v>1034</v>
      </c>
      <c r="C75" s="81" t="s">
        <v>1</v>
      </c>
      <c r="D75" s="81">
        <v>156</v>
      </c>
      <c r="E75" s="848">
        <v>31.2</v>
      </c>
      <c r="F75" s="109"/>
      <c r="G75" s="109"/>
      <c r="H75" s="83">
        <f t="shared" si="9"/>
        <v>-156</v>
      </c>
      <c r="I75" s="83">
        <f t="shared" si="9"/>
        <v>-31.2</v>
      </c>
    </row>
    <row r="76" spans="1:9" ht="27">
      <c r="A76" s="72"/>
      <c r="B76" s="741" t="s">
        <v>1035</v>
      </c>
      <c r="C76" s="81" t="s">
        <v>1</v>
      </c>
      <c r="D76" s="81">
        <v>1</v>
      </c>
      <c r="E76" s="848">
        <v>584.4</v>
      </c>
      <c r="F76" s="83">
        <v>1</v>
      </c>
      <c r="G76" s="83">
        <v>200</v>
      </c>
      <c r="H76" s="83">
        <f t="shared" si="9"/>
        <v>0</v>
      </c>
      <c r="I76" s="83">
        <f t="shared" si="9"/>
        <v>-384.4</v>
      </c>
    </row>
    <row r="77" spans="1:9" ht="13.5">
      <c r="A77" s="72"/>
      <c r="B77" s="741" t="s">
        <v>1036</v>
      </c>
      <c r="C77" s="81"/>
      <c r="D77" s="81"/>
      <c r="E77" s="848"/>
      <c r="F77" s="866">
        <v>2000</v>
      </c>
      <c r="G77" s="83">
        <v>498.8</v>
      </c>
      <c r="H77" s="83">
        <f t="shared" si="9"/>
        <v>2000</v>
      </c>
      <c r="I77" s="83">
        <f t="shared" si="9"/>
        <v>498.8</v>
      </c>
    </row>
    <row r="78" spans="1:9" ht="14.25">
      <c r="A78" s="546">
        <v>10</v>
      </c>
      <c r="B78" s="546" t="s">
        <v>1037</v>
      </c>
      <c r="C78" s="851">
        <v>4237</v>
      </c>
      <c r="D78" s="849"/>
      <c r="E78" s="852">
        <f>SUM(E81)</f>
        <v>4500</v>
      </c>
      <c r="F78" s="852"/>
      <c r="G78" s="852">
        <f>SUM(G81)</f>
        <v>4500</v>
      </c>
      <c r="H78" s="853"/>
      <c r="I78" s="852">
        <f>G78-E78</f>
        <v>0</v>
      </c>
    </row>
    <row r="79" spans="1:9" ht="13.5">
      <c r="A79" s="854"/>
      <c r="B79" s="855" t="s">
        <v>148</v>
      </c>
      <c r="C79" s="791"/>
      <c r="D79" s="623"/>
      <c r="E79" s="856"/>
      <c r="F79" s="856"/>
      <c r="G79" s="449"/>
      <c r="H79" s="857"/>
      <c r="I79" s="449"/>
    </row>
    <row r="80" spans="1:9" ht="13.5">
      <c r="A80" s="858"/>
      <c r="B80" s="859" t="s">
        <v>389</v>
      </c>
      <c r="C80" s="791"/>
      <c r="D80" s="623"/>
      <c r="E80" s="856"/>
      <c r="F80" s="856"/>
      <c r="G80" s="449"/>
      <c r="H80" s="857"/>
      <c r="I80" s="449"/>
    </row>
    <row r="81" spans="1:9" ht="13.5">
      <c r="A81" s="623">
        <v>1</v>
      </c>
      <c r="B81" s="860" t="s">
        <v>1038</v>
      </c>
      <c r="C81" s="791" t="s">
        <v>1</v>
      </c>
      <c r="D81" s="623"/>
      <c r="E81" s="856">
        <v>4500</v>
      </c>
      <c r="F81" s="856"/>
      <c r="G81" s="856">
        <v>4500</v>
      </c>
      <c r="H81" s="861">
        <f>F81-D81</f>
        <v>0</v>
      </c>
      <c r="I81" s="856">
        <f>G81-E81</f>
        <v>0</v>
      </c>
    </row>
    <row r="82" spans="1:9" ht="14.25">
      <c r="A82" s="546">
        <v>11</v>
      </c>
      <c r="B82" s="546" t="s">
        <v>54</v>
      </c>
      <c r="C82" s="851">
        <v>4239</v>
      </c>
      <c r="D82" s="849"/>
      <c r="E82" s="852">
        <f>SUM(E85:E89)</f>
        <v>15470</v>
      </c>
      <c r="F82" s="852"/>
      <c r="G82" s="852">
        <f>SUM(G85:G89)</f>
        <v>22470</v>
      </c>
      <c r="H82" s="853">
        <f>F82-D82</f>
        <v>0</v>
      </c>
      <c r="I82" s="852">
        <f>G82-E82</f>
        <v>7000</v>
      </c>
    </row>
    <row r="83" spans="1:9" ht="14.25">
      <c r="A83" s="854"/>
      <c r="B83" s="855" t="s">
        <v>148</v>
      </c>
      <c r="C83" s="791"/>
      <c r="D83" s="623"/>
      <c r="E83" s="856"/>
      <c r="F83" s="856"/>
      <c r="G83" s="449"/>
      <c r="H83" s="862"/>
      <c r="I83" s="449"/>
    </row>
    <row r="84" spans="1:9" ht="14.25">
      <c r="A84" s="858"/>
      <c r="B84" s="859" t="s">
        <v>389</v>
      </c>
      <c r="C84" s="791"/>
      <c r="D84" s="623"/>
      <c r="E84" s="856"/>
      <c r="F84" s="856"/>
      <c r="G84" s="449"/>
      <c r="H84" s="862"/>
      <c r="I84" s="449"/>
    </row>
    <row r="85" spans="1:9" ht="13.5">
      <c r="A85" s="72">
        <v>1</v>
      </c>
      <c r="B85" s="11" t="s">
        <v>1012</v>
      </c>
      <c r="C85" s="864" t="s">
        <v>1</v>
      </c>
      <c r="D85" s="864">
        <v>1</v>
      </c>
      <c r="E85" s="863">
        <v>11530</v>
      </c>
      <c r="F85" s="864">
        <v>1</v>
      </c>
      <c r="G85" s="863">
        <f>E85</f>
        <v>11530</v>
      </c>
      <c r="H85" s="864">
        <v>0</v>
      </c>
      <c r="I85" s="865">
        <f aca="true" t="shared" si="10" ref="I85:I90">G85-E85</f>
        <v>0</v>
      </c>
    </row>
    <row r="86" spans="1:9" ht="13.5">
      <c r="A86" s="72">
        <v>2</v>
      </c>
      <c r="B86" s="11" t="s">
        <v>1040</v>
      </c>
      <c r="C86" s="864" t="s">
        <v>1</v>
      </c>
      <c r="D86" s="864"/>
      <c r="E86" s="863"/>
      <c r="F86" s="864">
        <v>1</v>
      </c>
      <c r="G86" s="863">
        <v>7000</v>
      </c>
      <c r="H86" s="864">
        <v>0</v>
      </c>
      <c r="I86" s="865">
        <f t="shared" si="10"/>
        <v>7000</v>
      </c>
    </row>
    <row r="87" spans="1:9" ht="27">
      <c r="A87" s="72">
        <v>3</v>
      </c>
      <c r="B87" s="11" t="s">
        <v>1041</v>
      </c>
      <c r="C87" s="864" t="s">
        <v>1</v>
      </c>
      <c r="D87" s="864">
        <v>1</v>
      </c>
      <c r="E87" s="865">
        <v>940</v>
      </c>
      <c r="F87" s="864">
        <v>1</v>
      </c>
      <c r="G87" s="865">
        <f>E87</f>
        <v>940</v>
      </c>
      <c r="H87" s="864">
        <v>0</v>
      </c>
      <c r="I87" s="865">
        <f t="shared" si="10"/>
        <v>0</v>
      </c>
    </row>
    <row r="88" spans="1:9" ht="27">
      <c r="A88" s="72">
        <v>4</v>
      </c>
      <c r="B88" s="11" t="s">
        <v>1042</v>
      </c>
      <c r="C88" s="864" t="s">
        <v>1</v>
      </c>
      <c r="D88" s="864">
        <v>1</v>
      </c>
      <c r="E88" s="865">
        <v>1000</v>
      </c>
      <c r="F88" s="864">
        <v>1</v>
      </c>
      <c r="G88" s="865">
        <f>E88</f>
        <v>1000</v>
      </c>
      <c r="H88" s="864">
        <v>0</v>
      </c>
      <c r="I88" s="865">
        <f t="shared" si="10"/>
        <v>0</v>
      </c>
    </row>
    <row r="89" spans="1:9" ht="13.5">
      <c r="A89" s="72">
        <v>5</v>
      </c>
      <c r="B89" s="11" t="s">
        <v>1039</v>
      </c>
      <c r="C89" s="864" t="s">
        <v>1</v>
      </c>
      <c r="D89" s="864">
        <v>1</v>
      </c>
      <c r="E89" s="865">
        <v>2000</v>
      </c>
      <c r="F89" s="864">
        <v>1</v>
      </c>
      <c r="G89" s="865">
        <f>E89</f>
        <v>2000</v>
      </c>
      <c r="H89" s="864">
        <v>0</v>
      </c>
      <c r="I89" s="865">
        <f t="shared" si="10"/>
        <v>0</v>
      </c>
    </row>
    <row r="90" spans="1:9" ht="14.25">
      <c r="A90" s="546">
        <v>12</v>
      </c>
      <c r="B90" s="546" t="s">
        <v>55</v>
      </c>
      <c r="C90" s="851">
        <v>4241</v>
      </c>
      <c r="D90" s="849"/>
      <c r="E90" s="852">
        <f>SUM(E93)</f>
        <v>300</v>
      </c>
      <c r="F90" s="852"/>
      <c r="G90" s="852">
        <f>SUM(G93)</f>
        <v>300</v>
      </c>
      <c r="H90" s="853">
        <f>F90-D90</f>
        <v>0</v>
      </c>
      <c r="I90" s="852">
        <f t="shared" si="10"/>
        <v>0</v>
      </c>
    </row>
    <row r="91" spans="1:9" ht="14.25">
      <c r="A91" s="854"/>
      <c r="B91" s="855" t="s">
        <v>148</v>
      </c>
      <c r="C91" s="791"/>
      <c r="D91" s="623"/>
      <c r="E91" s="856"/>
      <c r="F91" s="856"/>
      <c r="G91" s="449"/>
      <c r="H91" s="862">
        <f>F91-D91</f>
        <v>0</v>
      </c>
      <c r="I91" s="449"/>
    </row>
    <row r="92" spans="1:9" ht="14.25">
      <c r="A92" s="858"/>
      <c r="B92" s="859" t="s">
        <v>389</v>
      </c>
      <c r="C92" s="791"/>
      <c r="D92" s="623"/>
      <c r="E92" s="856"/>
      <c r="F92" s="856"/>
      <c r="G92" s="449"/>
      <c r="H92" s="862">
        <f>F92-D92</f>
        <v>0</v>
      </c>
      <c r="I92" s="449"/>
    </row>
    <row r="93" spans="1:9" ht="13.5">
      <c r="A93" s="623">
        <v>1</v>
      </c>
      <c r="B93" s="860" t="s">
        <v>1043</v>
      </c>
      <c r="C93" s="791" t="s">
        <v>1</v>
      </c>
      <c r="D93" s="864">
        <v>1</v>
      </c>
      <c r="E93" s="865">
        <v>300</v>
      </c>
      <c r="F93" s="864">
        <v>1</v>
      </c>
      <c r="G93" s="865">
        <v>300</v>
      </c>
      <c r="H93" s="864">
        <v>0</v>
      </c>
      <c r="I93" s="864">
        <v>0</v>
      </c>
    </row>
    <row r="94" spans="1:9" ht="28.5">
      <c r="A94" s="546">
        <v>13</v>
      </c>
      <c r="B94" s="867" t="s">
        <v>57</v>
      </c>
      <c r="C94" s="851">
        <v>4252</v>
      </c>
      <c r="D94" s="849"/>
      <c r="E94" s="852">
        <f>SUM(E97:E99)</f>
        <v>1667</v>
      </c>
      <c r="F94" s="852"/>
      <c r="G94" s="852">
        <f>SUM(G97:G99)</f>
        <v>1667</v>
      </c>
      <c r="H94" s="853">
        <f>F94-D94</f>
        <v>0</v>
      </c>
      <c r="I94" s="852">
        <f>G94-E94</f>
        <v>0</v>
      </c>
    </row>
    <row r="95" spans="1:9" ht="14.25">
      <c r="A95" s="854"/>
      <c r="B95" s="855" t="s">
        <v>148</v>
      </c>
      <c r="C95" s="791"/>
      <c r="D95" s="623"/>
      <c r="E95" s="856"/>
      <c r="F95" s="856"/>
      <c r="G95" s="449"/>
      <c r="H95" s="862"/>
      <c r="I95" s="449"/>
    </row>
    <row r="96" spans="1:9" ht="14.25">
      <c r="A96" s="858"/>
      <c r="B96" s="859" t="s">
        <v>389</v>
      </c>
      <c r="C96" s="791"/>
      <c r="D96" s="623"/>
      <c r="E96" s="856"/>
      <c r="F96" s="856"/>
      <c r="G96" s="449"/>
      <c r="H96" s="862"/>
      <c r="I96" s="449"/>
    </row>
    <row r="97" spans="1:9" ht="27">
      <c r="A97" s="72">
        <v>1</v>
      </c>
      <c r="B97" s="11" t="s">
        <v>1045</v>
      </c>
      <c r="C97" s="864" t="s">
        <v>1</v>
      </c>
      <c r="D97" s="864">
        <v>1</v>
      </c>
      <c r="E97" s="865">
        <v>821</v>
      </c>
      <c r="F97" s="864"/>
      <c r="G97" s="865"/>
      <c r="H97" s="864">
        <v>0</v>
      </c>
      <c r="I97" s="865">
        <f>G97-E97</f>
        <v>-821</v>
      </c>
    </row>
    <row r="98" spans="1:9" ht="13.5">
      <c r="A98" s="72">
        <v>2</v>
      </c>
      <c r="B98" s="11" t="s">
        <v>1044</v>
      </c>
      <c r="C98" s="864" t="s">
        <v>1</v>
      </c>
      <c r="D98" s="864">
        <v>1</v>
      </c>
      <c r="E98" s="865">
        <v>846</v>
      </c>
      <c r="F98" s="864">
        <v>1</v>
      </c>
      <c r="G98" s="865">
        <f>E98</f>
        <v>846</v>
      </c>
      <c r="H98" s="864">
        <v>0</v>
      </c>
      <c r="I98" s="865">
        <f>G98-E98</f>
        <v>0</v>
      </c>
    </row>
    <row r="99" spans="1:9" ht="27">
      <c r="A99" s="72">
        <v>3</v>
      </c>
      <c r="B99" s="11" t="s">
        <v>1046</v>
      </c>
      <c r="C99" s="864" t="s">
        <v>1</v>
      </c>
      <c r="D99" s="864"/>
      <c r="E99" s="865"/>
      <c r="F99" s="864">
        <v>1</v>
      </c>
      <c r="G99" s="865">
        <v>821</v>
      </c>
      <c r="H99" s="864">
        <v>0</v>
      </c>
      <c r="I99" s="865">
        <f>G99-E99</f>
        <v>821</v>
      </c>
    </row>
    <row r="100" spans="1:9" ht="14.25">
      <c r="A100" s="546">
        <v>14</v>
      </c>
      <c r="B100" s="867" t="s">
        <v>58</v>
      </c>
      <c r="C100" s="851">
        <v>4261</v>
      </c>
      <c r="D100" s="849"/>
      <c r="E100" s="852">
        <f>SUM(E103:E160)</f>
        <v>13943.9</v>
      </c>
      <c r="F100" s="852"/>
      <c r="G100" s="852">
        <f>SUM(G103:G160)</f>
        <v>14181.550000000001</v>
      </c>
      <c r="H100" s="853">
        <f>F100-D100</f>
        <v>0</v>
      </c>
      <c r="I100" s="852">
        <f>G100-E100</f>
        <v>237.65000000000146</v>
      </c>
    </row>
    <row r="101" spans="1:9" ht="14.25">
      <c r="A101" s="854"/>
      <c r="B101" s="855" t="s">
        <v>148</v>
      </c>
      <c r="C101" s="791"/>
      <c r="D101" s="623"/>
      <c r="E101" s="856"/>
      <c r="F101" s="856"/>
      <c r="G101" s="449"/>
      <c r="H101" s="862"/>
      <c r="I101" s="449"/>
    </row>
    <row r="102" spans="1:9" ht="14.25">
      <c r="A102" s="858"/>
      <c r="B102" s="859" t="s">
        <v>389</v>
      </c>
      <c r="C102" s="791"/>
      <c r="D102" s="623"/>
      <c r="E102" s="856"/>
      <c r="F102" s="856"/>
      <c r="G102" s="449"/>
      <c r="H102" s="862"/>
      <c r="I102" s="449"/>
    </row>
    <row r="103" spans="1:9" ht="13.5">
      <c r="A103" s="72">
        <v>1</v>
      </c>
      <c r="B103" s="109" t="s">
        <v>1047</v>
      </c>
      <c r="C103" s="864" t="s">
        <v>1</v>
      </c>
      <c r="D103" s="111">
        <v>50</v>
      </c>
      <c r="E103" s="112">
        <v>10</v>
      </c>
      <c r="F103" s="864">
        <v>50</v>
      </c>
      <c r="G103" s="865">
        <f>E103</f>
        <v>10</v>
      </c>
      <c r="H103" s="868">
        <f>F103-D103</f>
        <v>0</v>
      </c>
      <c r="I103" s="865">
        <f>G103-E103</f>
        <v>0</v>
      </c>
    </row>
    <row r="104" spans="1:9" ht="13.5">
      <c r="A104" s="72">
        <v>2</v>
      </c>
      <c r="B104" s="109" t="s">
        <v>1048</v>
      </c>
      <c r="C104" s="864" t="s">
        <v>1</v>
      </c>
      <c r="D104" s="111">
        <v>60</v>
      </c>
      <c r="E104" s="112">
        <v>6</v>
      </c>
      <c r="F104" s="109">
        <v>60</v>
      </c>
      <c r="G104" s="865">
        <f aca="true" t="shared" si="11" ref="G104:G160">E104</f>
        <v>6</v>
      </c>
      <c r="H104" s="868">
        <f aca="true" t="shared" si="12" ref="H104:I160">F104-D104</f>
        <v>0</v>
      </c>
      <c r="I104" s="865">
        <f t="shared" si="12"/>
        <v>0</v>
      </c>
    </row>
    <row r="105" spans="1:9" ht="13.5">
      <c r="A105" s="72">
        <v>3</v>
      </c>
      <c r="B105" s="109" t="s">
        <v>1049</v>
      </c>
      <c r="C105" s="864" t="s">
        <v>1</v>
      </c>
      <c r="D105" s="111">
        <v>40</v>
      </c>
      <c r="E105" s="112">
        <v>4.8</v>
      </c>
      <c r="F105" s="109">
        <v>40</v>
      </c>
      <c r="G105" s="865">
        <f t="shared" si="11"/>
        <v>4.8</v>
      </c>
      <c r="H105" s="868">
        <f t="shared" si="12"/>
        <v>0</v>
      </c>
      <c r="I105" s="865">
        <f t="shared" si="12"/>
        <v>0</v>
      </c>
    </row>
    <row r="106" spans="1:9" ht="13.5">
      <c r="A106" s="72">
        <v>4</v>
      </c>
      <c r="B106" s="109" t="s">
        <v>1050</v>
      </c>
      <c r="C106" s="864" t="s">
        <v>1</v>
      </c>
      <c r="D106" s="111">
        <v>260</v>
      </c>
      <c r="E106" s="112">
        <v>20.8</v>
      </c>
      <c r="F106" s="109">
        <v>260</v>
      </c>
      <c r="G106" s="865">
        <f t="shared" si="11"/>
        <v>20.8</v>
      </c>
      <c r="H106" s="868">
        <f t="shared" si="12"/>
        <v>0</v>
      </c>
      <c r="I106" s="865">
        <f t="shared" si="12"/>
        <v>0</v>
      </c>
    </row>
    <row r="107" spans="1:9" ht="13.5">
      <c r="A107" s="72">
        <v>5</v>
      </c>
      <c r="B107" s="109" t="s">
        <v>1051</v>
      </c>
      <c r="C107" s="864" t="s">
        <v>1</v>
      </c>
      <c r="D107" s="111">
        <v>120</v>
      </c>
      <c r="E107" s="112">
        <v>14.4</v>
      </c>
      <c r="F107" s="109">
        <v>120</v>
      </c>
      <c r="G107" s="865">
        <f t="shared" si="11"/>
        <v>14.4</v>
      </c>
      <c r="H107" s="868">
        <f t="shared" si="12"/>
        <v>0</v>
      </c>
      <c r="I107" s="865">
        <f t="shared" si="12"/>
        <v>0</v>
      </c>
    </row>
    <row r="108" spans="1:9" ht="13.5">
      <c r="A108" s="72">
        <v>6</v>
      </c>
      <c r="B108" s="109" t="s">
        <v>1052</v>
      </c>
      <c r="C108" s="864" t="s">
        <v>1</v>
      </c>
      <c r="D108" s="111">
        <v>1000</v>
      </c>
      <c r="E108" s="112">
        <v>80</v>
      </c>
      <c r="F108" s="109">
        <v>1000</v>
      </c>
      <c r="G108" s="865">
        <f t="shared" si="11"/>
        <v>80</v>
      </c>
      <c r="H108" s="868">
        <f t="shared" si="12"/>
        <v>0</v>
      </c>
      <c r="I108" s="865">
        <f t="shared" si="12"/>
        <v>0</v>
      </c>
    </row>
    <row r="109" spans="1:9" ht="13.5">
      <c r="A109" s="72">
        <v>7</v>
      </c>
      <c r="B109" s="109" t="s">
        <v>1053</v>
      </c>
      <c r="C109" s="864" t="s">
        <v>1</v>
      </c>
      <c r="D109" s="111">
        <v>10</v>
      </c>
      <c r="E109" s="112">
        <v>18</v>
      </c>
      <c r="F109" s="109">
        <v>10</v>
      </c>
      <c r="G109" s="865">
        <f t="shared" si="11"/>
        <v>18</v>
      </c>
      <c r="H109" s="868">
        <f t="shared" si="12"/>
        <v>0</v>
      </c>
      <c r="I109" s="865">
        <f t="shared" si="12"/>
        <v>0</v>
      </c>
    </row>
    <row r="110" spans="1:9" ht="13.5">
      <c r="A110" s="72">
        <v>8</v>
      </c>
      <c r="B110" s="109" t="s">
        <v>1054</v>
      </c>
      <c r="C110" s="864" t="s">
        <v>1</v>
      </c>
      <c r="D110" s="111">
        <v>200</v>
      </c>
      <c r="E110" s="112">
        <v>16</v>
      </c>
      <c r="F110" s="109">
        <v>200</v>
      </c>
      <c r="G110" s="865">
        <f t="shared" si="11"/>
        <v>16</v>
      </c>
      <c r="H110" s="868">
        <f t="shared" si="12"/>
        <v>0</v>
      </c>
      <c r="I110" s="865">
        <f t="shared" si="12"/>
        <v>0</v>
      </c>
    </row>
    <row r="111" spans="1:9" ht="13.5">
      <c r="A111" s="72">
        <v>9</v>
      </c>
      <c r="B111" s="109" t="s">
        <v>1055</v>
      </c>
      <c r="C111" s="864" t="s">
        <v>1</v>
      </c>
      <c r="D111" s="111">
        <v>10</v>
      </c>
      <c r="E111" s="112">
        <v>3</v>
      </c>
      <c r="F111" s="109">
        <v>10</v>
      </c>
      <c r="G111" s="865">
        <f t="shared" si="11"/>
        <v>3</v>
      </c>
      <c r="H111" s="868">
        <f t="shared" si="12"/>
        <v>0</v>
      </c>
      <c r="I111" s="865">
        <f t="shared" si="12"/>
        <v>0</v>
      </c>
    </row>
    <row r="112" spans="1:9" ht="13.5">
      <c r="A112" s="72">
        <v>10</v>
      </c>
      <c r="B112" s="109" t="s">
        <v>1056</v>
      </c>
      <c r="C112" s="864" t="s">
        <v>1</v>
      </c>
      <c r="D112" s="111">
        <v>20</v>
      </c>
      <c r="E112" s="112">
        <v>7</v>
      </c>
      <c r="F112" s="109">
        <v>20</v>
      </c>
      <c r="G112" s="865">
        <f t="shared" si="11"/>
        <v>7</v>
      </c>
      <c r="H112" s="868">
        <f t="shared" si="12"/>
        <v>0</v>
      </c>
      <c r="I112" s="865">
        <f t="shared" si="12"/>
        <v>0</v>
      </c>
    </row>
    <row r="113" spans="1:9" ht="13.5">
      <c r="A113" s="72">
        <v>11</v>
      </c>
      <c r="B113" s="109" t="s">
        <v>1057</v>
      </c>
      <c r="C113" s="864" t="s">
        <v>1</v>
      </c>
      <c r="D113" s="111">
        <v>300</v>
      </c>
      <c r="E113" s="112">
        <v>21</v>
      </c>
      <c r="F113" s="109">
        <v>300</v>
      </c>
      <c r="G113" s="865">
        <f t="shared" si="11"/>
        <v>21</v>
      </c>
      <c r="H113" s="868">
        <f t="shared" si="12"/>
        <v>0</v>
      </c>
      <c r="I113" s="865">
        <f t="shared" si="12"/>
        <v>0</v>
      </c>
    </row>
    <row r="114" spans="1:9" ht="13.5">
      <c r="A114" s="72">
        <v>12</v>
      </c>
      <c r="B114" s="109" t="s">
        <v>1058</v>
      </c>
      <c r="C114" s="864" t="s">
        <v>1</v>
      </c>
      <c r="D114" s="111">
        <v>12000</v>
      </c>
      <c r="E114" s="112">
        <v>720</v>
      </c>
      <c r="F114" s="109">
        <v>12000</v>
      </c>
      <c r="G114" s="865">
        <f t="shared" si="11"/>
        <v>720</v>
      </c>
      <c r="H114" s="868">
        <f t="shared" si="12"/>
        <v>0</v>
      </c>
      <c r="I114" s="865">
        <f t="shared" si="12"/>
        <v>0</v>
      </c>
    </row>
    <row r="115" spans="1:9" ht="13.5">
      <c r="A115" s="72">
        <v>13</v>
      </c>
      <c r="B115" s="109" t="s">
        <v>1059</v>
      </c>
      <c r="C115" s="864" t="s">
        <v>1</v>
      </c>
      <c r="D115" s="111">
        <v>100</v>
      </c>
      <c r="E115" s="112">
        <v>60</v>
      </c>
      <c r="F115" s="109">
        <v>100</v>
      </c>
      <c r="G115" s="865">
        <f t="shared" si="11"/>
        <v>60</v>
      </c>
      <c r="H115" s="868">
        <f t="shared" si="12"/>
        <v>0</v>
      </c>
      <c r="I115" s="865">
        <f t="shared" si="12"/>
        <v>0</v>
      </c>
    </row>
    <row r="116" spans="1:9" ht="13.5">
      <c r="A116" s="72">
        <v>14</v>
      </c>
      <c r="B116" s="109" t="s">
        <v>1060</v>
      </c>
      <c r="C116" s="864" t="s">
        <v>1</v>
      </c>
      <c r="D116" s="111">
        <v>11999</v>
      </c>
      <c r="E116" s="112">
        <v>119.99</v>
      </c>
      <c r="F116" s="109">
        <v>11999</v>
      </c>
      <c r="G116" s="865">
        <f t="shared" si="11"/>
        <v>119.99</v>
      </c>
      <c r="H116" s="868">
        <f t="shared" si="12"/>
        <v>0</v>
      </c>
      <c r="I116" s="865">
        <f t="shared" si="12"/>
        <v>0</v>
      </c>
    </row>
    <row r="117" spans="1:9" ht="13.5">
      <c r="A117" s="72">
        <v>15</v>
      </c>
      <c r="B117" s="109" t="s">
        <v>1061</v>
      </c>
      <c r="C117" s="864" t="s">
        <v>1</v>
      </c>
      <c r="D117" s="111">
        <v>10599</v>
      </c>
      <c r="E117" s="112">
        <v>6359.4</v>
      </c>
      <c r="F117" s="109">
        <v>10599</v>
      </c>
      <c r="G117" s="865">
        <f t="shared" si="11"/>
        <v>6359.4</v>
      </c>
      <c r="H117" s="868">
        <f t="shared" si="12"/>
        <v>0</v>
      </c>
      <c r="I117" s="865">
        <f t="shared" si="12"/>
        <v>0</v>
      </c>
    </row>
    <row r="118" spans="1:9" ht="13.5">
      <c r="A118" s="72">
        <v>16</v>
      </c>
      <c r="B118" s="109" t="s">
        <v>1061</v>
      </c>
      <c r="C118" s="864" t="s">
        <v>1</v>
      </c>
      <c r="D118" s="111">
        <v>12.5</v>
      </c>
      <c r="E118" s="112">
        <v>50</v>
      </c>
      <c r="F118" s="109">
        <v>12.5</v>
      </c>
      <c r="G118" s="865">
        <f t="shared" si="11"/>
        <v>50</v>
      </c>
      <c r="H118" s="868">
        <f t="shared" si="12"/>
        <v>0</v>
      </c>
      <c r="I118" s="865">
        <f t="shared" si="12"/>
        <v>0</v>
      </c>
    </row>
    <row r="119" spans="1:9" ht="13.5">
      <c r="A119" s="72">
        <v>17</v>
      </c>
      <c r="B119" s="109" t="s">
        <v>1061</v>
      </c>
      <c r="C119" s="864" t="s">
        <v>1</v>
      </c>
      <c r="D119" s="111">
        <v>5000</v>
      </c>
      <c r="E119" s="112">
        <v>3000</v>
      </c>
      <c r="F119" s="109">
        <v>5000</v>
      </c>
      <c r="G119" s="865">
        <f t="shared" si="11"/>
        <v>3000</v>
      </c>
      <c r="H119" s="868">
        <f t="shared" si="12"/>
        <v>0</v>
      </c>
      <c r="I119" s="865">
        <f t="shared" si="12"/>
        <v>0</v>
      </c>
    </row>
    <row r="120" spans="1:9" ht="13.5">
      <c r="A120" s="72">
        <v>18</v>
      </c>
      <c r="B120" s="109" t="s">
        <v>1062</v>
      </c>
      <c r="C120" s="864" t="s">
        <v>1</v>
      </c>
      <c r="D120" s="111">
        <v>4</v>
      </c>
      <c r="E120" s="112">
        <v>32</v>
      </c>
      <c r="F120" s="109">
        <v>4</v>
      </c>
      <c r="G120" s="865">
        <f t="shared" si="11"/>
        <v>32</v>
      </c>
      <c r="H120" s="868">
        <f t="shared" si="12"/>
        <v>0</v>
      </c>
      <c r="I120" s="865">
        <f t="shared" si="12"/>
        <v>0</v>
      </c>
    </row>
    <row r="121" spans="1:9" ht="13.5">
      <c r="A121" s="72">
        <v>19</v>
      </c>
      <c r="B121" s="109" t="s">
        <v>1063</v>
      </c>
      <c r="C121" s="864" t="s">
        <v>1</v>
      </c>
      <c r="D121" s="111">
        <v>5000</v>
      </c>
      <c r="E121" s="112">
        <v>225</v>
      </c>
      <c r="F121" s="109">
        <v>5000</v>
      </c>
      <c r="G121" s="865">
        <f t="shared" si="11"/>
        <v>225</v>
      </c>
      <c r="H121" s="868">
        <f t="shared" si="12"/>
        <v>0</v>
      </c>
      <c r="I121" s="865">
        <f t="shared" si="12"/>
        <v>0</v>
      </c>
    </row>
    <row r="122" spans="1:9" ht="13.5">
      <c r="A122" s="72">
        <v>20</v>
      </c>
      <c r="B122" s="109" t="s">
        <v>1063</v>
      </c>
      <c r="C122" s="864" t="s">
        <v>1</v>
      </c>
      <c r="D122" s="111">
        <v>500</v>
      </c>
      <c r="E122" s="112">
        <v>50</v>
      </c>
      <c r="F122" s="109">
        <v>500</v>
      </c>
      <c r="G122" s="865">
        <f t="shared" si="11"/>
        <v>50</v>
      </c>
      <c r="H122" s="868">
        <f t="shared" si="12"/>
        <v>0</v>
      </c>
      <c r="I122" s="865">
        <f t="shared" si="12"/>
        <v>0</v>
      </c>
    </row>
    <row r="123" spans="1:9" ht="13.5">
      <c r="A123" s="72">
        <v>21</v>
      </c>
      <c r="B123" s="109" t="s">
        <v>1063</v>
      </c>
      <c r="C123" s="864" t="s">
        <v>1</v>
      </c>
      <c r="D123" s="111">
        <v>500</v>
      </c>
      <c r="E123" s="112">
        <v>55</v>
      </c>
      <c r="F123" s="109">
        <v>500</v>
      </c>
      <c r="G123" s="865">
        <f t="shared" si="11"/>
        <v>55</v>
      </c>
      <c r="H123" s="868">
        <f t="shared" si="12"/>
        <v>0</v>
      </c>
      <c r="I123" s="865">
        <f t="shared" si="12"/>
        <v>0</v>
      </c>
    </row>
    <row r="124" spans="1:9" ht="13.5">
      <c r="A124" s="72">
        <v>22</v>
      </c>
      <c r="B124" s="109" t="s">
        <v>1063</v>
      </c>
      <c r="C124" s="864" t="s">
        <v>1</v>
      </c>
      <c r="D124" s="111">
        <v>8000</v>
      </c>
      <c r="E124" s="112">
        <v>120</v>
      </c>
      <c r="F124" s="109">
        <v>8000</v>
      </c>
      <c r="G124" s="865">
        <f t="shared" si="11"/>
        <v>120</v>
      </c>
      <c r="H124" s="868">
        <f t="shared" si="12"/>
        <v>0</v>
      </c>
      <c r="I124" s="865">
        <f t="shared" si="12"/>
        <v>0</v>
      </c>
    </row>
    <row r="125" spans="1:9" ht="13.5">
      <c r="A125" s="72">
        <v>23</v>
      </c>
      <c r="B125" s="109" t="s">
        <v>1063</v>
      </c>
      <c r="C125" s="864" t="s">
        <v>1</v>
      </c>
      <c r="D125" s="111">
        <v>7000</v>
      </c>
      <c r="E125" s="112">
        <v>210</v>
      </c>
      <c r="F125" s="109">
        <v>7000</v>
      </c>
      <c r="G125" s="865">
        <f t="shared" si="11"/>
        <v>210</v>
      </c>
      <c r="H125" s="868">
        <f t="shared" si="12"/>
        <v>0</v>
      </c>
      <c r="I125" s="865">
        <f t="shared" si="12"/>
        <v>0</v>
      </c>
    </row>
    <row r="126" spans="1:9" ht="13.5">
      <c r="A126" s="72">
        <v>24</v>
      </c>
      <c r="B126" s="109" t="s">
        <v>1064</v>
      </c>
      <c r="C126" s="864" t="s">
        <v>1</v>
      </c>
      <c r="D126" s="111">
        <v>50</v>
      </c>
      <c r="E126" s="112">
        <v>50</v>
      </c>
      <c r="F126" s="109">
        <v>50</v>
      </c>
      <c r="G126" s="865">
        <f t="shared" si="11"/>
        <v>50</v>
      </c>
      <c r="H126" s="868">
        <f t="shared" si="12"/>
        <v>0</v>
      </c>
      <c r="I126" s="865">
        <f t="shared" si="12"/>
        <v>0</v>
      </c>
    </row>
    <row r="127" spans="1:9" ht="13.5">
      <c r="A127" s="72">
        <v>25</v>
      </c>
      <c r="B127" s="109" t="s">
        <v>1065</v>
      </c>
      <c r="C127" s="864" t="s">
        <v>1</v>
      </c>
      <c r="D127" s="111">
        <v>5</v>
      </c>
      <c r="E127" s="112">
        <v>50</v>
      </c>
      <c r="F127" s="109">
        <v>5</v>
      </c>
      <c r="G127" s="865">
        <f t="shared" si="11"/>
        <v>50</v>
      </c>
      <c r="H127" s="868">
        <f t="shared" si="12"/>
        <v>0</v>
      </c>
      <c r="I127" s="865">
        <f t="shared" si="12"/>
        <v>0</v>
      </c>
    </row>
    <row r="128" spans="1:9" ht="13.5">
      <c r="A128" s="72">
        <v>26</v>
      </c>
      <c r="B128" s="109" t="s">
        <v>1066</v>
      </c>
      <c r="C128" s="864" t="s">
        <v>1</v>
      </c>
      <c r="D128" s="111">
        <v>20</v>
      </c>
      <c r="E128" s="112">
        <v>14</v>
      </c>
      <c r="F128" s="109">
        <v>20</v>
      </c>
      <c r="G128" s="865">
        <f t="shared" si="11"/>
        <v>14</v>
      </c>
      <c r="H128" s="868">
        <f t="shared" si="12"/>
        <v>0</v>
      </c>
      <c r="I128" s="865">
        <f t="shared" si="12"/>
        <v>0</v>
      </c>
    </row>
    <row r="129" spans="1:9" ht="13.5">
      <c r="A129" s="72">
        <v>27</v>
      </c>
      <c r="B129" s="109" t="s">
        <v>1067</v>
      </c>
      <c r="C129" s="864" t="s">
        <v>1</v>
      </c>
      <c r="D129" s="111">
        <v>20</v>
      </c>
      <c r="E129" s="112">
        <v>5</v>
      </c>
      <c r="F129" s="109">
        <v>20</v>
      </c>
      <c r="G129" s="865">
        <f t="shared" si="11"/>
        <v>5</v>
      </c>
      <c r="H129" s="868">
        <f t="shared" si="12"/>
        <v>0</v>
      </c>
      <c r="I129" s="865">
        <f t="shared" si="12"/>
        <v>0</v>
      </c>
    </row>
    <row r="130" spans="1:9" ht="13.5">
      <c r="A130" s="72">
        <v>28</v>
      </c>
      <c r="B130" s="109" t="s">
        <v>1068</v>
      </c>
      <c r="C130" s="864" t="s">
        <v>1</v>
      </c>
      <c r="D130" s="111">
        <v>300</v>
      </c>
      <c r="E130" s="112">
        <v>36</v>
      </c>
      <c r="F130" s="109">
        <v>300</v>
      </c>
      <c r="G130" s="865">
        <f t="shared" si="11"/>
        <v>36</v>
      </c>
      <c r="H130" s="868">
        <f t="shared" si="12"/>
        <v>0</v>
      </c>
      <c r="I130" s="865">
        <f t="shared" si="12"/>
        <v>0</v>
      </c>
    </row>
    <row r="131" spans="1:9" ht="13.5">
      <c r="A131" s="72">
        <v>29</v>
      </c>
      <c r="B131" s="109" t="s">
        <v>1069</v>
      </c>
      <c r="C131" s="864" t="s">
        <v>1</v>
      </c>
      <c r="D131" s="111">
        <v>160</v>
      </c>
      <c r="E131" s="112">
        <v>9.6</v>
      </c>
      <c r="F131" s="109">
        <v>160</v>
      </c>
      <c r="G131" s="865">
        <f t="shared" si="11"/>
        <v>9.6</v>
      </c>
      <c r="H131" s="868">
        <f t="shared" si="12"/>
        <v>0</v>
      </c>
      <c r="I131" s="865">
        <f t="shared" si="12"/>
        <v>0</v>
      </c>
    </row>
    <row r="132" spans="1:9" ht="13.5">
      <c r="A132" s="72">
        <v>30</v>
      </c>
      <c r="B132" s="109" t="s">
        <v>1070</v>
      </c>
      <c r="C132" s="864" t="s">
        <v>1</v>
      </c>
      <c r="D132" s="111">
        <v>2</v>
      </c>
      <c r="E132" s="112">
        <v>10</v>
      </c>
      <c r="F132" s="109">
        <v>2</v>
      </c>
      <c r="G132" s="865">
        <f t="shared" si="11"/>
        <v>10</v>
      </c>
      <c r="H132" s="868">
        <f t="shared" si="12"/>
        <v>0</v>
      </c>
      <c r="I132" s="865">
        <f t="shared" si="12"/>
        <v>0</v>
      </c>
    </row>
    <row r="133" spans="1:9" ht="13.5">
      <c r="A133" s="72">
        <v>31</v>
      </c>
      <c r="B133" s="109" t="s">
        <v>1071</v>
      </c>
      <c r="C133" s="864" t="s">
        <v>1</v>
      </c>
      <c r="D133" s="111">
        <v>305</v>
      </c>
      <c r="E133" s="112">
        <v>61</v>
      </c>
      <c r="F133" s="109">
        <f>305*3</f>
        <v>915</v>
      </c>
      <c r="G133" s="865">
        <f>F133*0.2</f>
        <v>183</v>
      </c>
      <c r="H133" s="868">
        <f t="shared" si="12"/>
        <v>610</v>
      </c>
      <c r="I133" s="865">
        <f t="shared" si="12"/>
        <v>122</v>
      </c>
    </row>
    <row r="134" spans="1:9" ht="13.5">
      <c r="A134" s="72">
        <v>32</v>
      </c>
      <c r="B134" s="109" t="s">
        <v>1071</v>
      </c>
      <c r="C134" s="864" t="s">
        <v>1</v>
      </c>
      <c r="D134" s="111">
        <v>610</v>
      </c>
      <c r="E134" s="112">
        <v>201.3</v>
      </c>
      <c r="F134" s="109">
        <v>915</v>
      </c>
      <c r="G134" s="865">
        <f>915*0.33</f>
        <v>301.95</v>
      </c>
      <c r="H134" s="868">
        <f t="shared" si="12"/>
        <v>305</v>
      </c>
      <c r="I134" s="865">
        <f t="shared" si="12"/>
        <v>100.64999999999998</v>
      </c>
    </row>
    <row r="135" spans="1:9" ht="13.5">
      <c r="A135" s="72">
        <v>33</v>
      </c>
      <c r="B135" s="109" t="s">
        <v>1072</v>
      </c>
      <c r="C135" s="864" t="s">
        <v>1</v>
      </c>
      <c r="D135" s="111">
        <v>300</v>
      </c>
      <c r="E135" s="112">
        <v>12</v>
      </c>
      <c r="F135" s="109">
        <v>300</v>
      </c>
      <c r="G135" s="865">
        <f t="shared" si="11"/>
        <v>12</v>
      </c>
      <c r="H135" s="868">
        <f t="shared" si="12"/>
        <v>0</v>
      </c>
      <c r="I135" s="865">
        <f t="shared" si="12"/>
        <v>0</v>
      </c>
    </row>
    <row r="136" spans="1:9" ht="13.5">
      <c r="A136" s="72">
        <v>34</v>
      </c>
      <c r="B136" s="109" t="s">
        <v>1073</v>
      </c>
      <c r="C136" s="864" t="s">
        <v>1</v>
      </c>
      <c r="D136" s="111">
        <v>5</v>
      </c>
      <c r="E136" s="112">
        <v>15</v>
      </c>
      <c r="F136" s="109">
        <v>10</v>
      </c>
      <c r="G136" s="865">
        <f>F136*3</f>
        <v>30</v>
      </c>
      <c r="H136" s="868">
        <f t="shared" si="12"/>
        <v>5</v>
      </c>
      <c r="I136" s="865">
        <f t="shared" si="12"/>
        <v>15</v>
      </c>
    </row>
    <row r="137" spans="1:9" ht="13.5">
      <c r="A137" s="72">
        <v>35</v>
      </c>
      <c r="B137" s="109" t="s">
        <v>1074</v>
      </c>
      <c r="C137" s="864" t="s">
        <v>1</v>
      </c>
      <c r="D137" s="111">
        <v>80</v>
      </c>
      <c r="E137" s="112">
        <v>160</v>
      </c>
      <c r="F137" s="109">
        <v>80</v>
      </c>
      <c r="G137" s="865">
        <f t="shared" si="11"/>
        <v>160</v>
      </c>
      <c r="H137" s="868">
        <f t="shared" si="12"/>
        <v>0</v>
      </c>
      <c r="I137" s="865">
        <f t="shared" si="12"/>
        <v>0</v>
      </c>
    </row>
    <row r="138" spans="1:9" ht="13.5">
      <c r="A138" s="72">
        <v>36</v>
      </c>
      <c r="B138" s="109" t="s">
        <v>1075</v>
      </c>
      <c r="C138" s="864" t="s">
        <v>1</v>
      </c>
      <c r="D138" s="111">
        <v>10</v>
      </c>
      <c r="E138" s="112">
        <v>1.6</v>
      </c>
      <c r="F138" s="109">
        <v>10</v>
      </c>
      <c r="G138" s="865">
        <f t="shared" si="11"/>
        <v>1.6</v>
      </c>
      <c r="H138" s="868">
        <f t="shared" si="12"/>
        <v>0</v>
      </c>
      <c r="I138" s="865">
        <f t="shared" si="12"/>
        <v>0</v>
      </c>
    </row>
    <row r="139" spans="1:9" ht="27">
      <c r="A139" s="72">
        <v>37</v>
      </c>
      <c r="B139" s="11" t="s">
        <v>1076</v>
      </c>
      <c r="C139" s="864" t="s">
        <v>1</v>
      </c>
      <c r="D139" s="111">
        <v>13</v>
      </c>
      <c r="E139" s="112">
        <v>1.95</v>
      </c>
      <c r="F139" s="109">
        <v>13</v>
      </c>
      <c r="G139" s="865">
        <f t="shared" si="11"/>
        <v>1.95</v>
      </c>
      <c r="H139" s="868">
        <f t="shared" si="12"/>
        <v>0</v>
      </c>
      <c r="I139" s="865">
        <f t="shared" si="12"/>
        <v>0</v>
      </c>
    </row>
    <row r="140" spans="1:9" ht="27">
      <c r="A140" s="72">
        <v>38</v>
      </c>
      <c r="B140" s="11" t="s">
        <v>1077</v>
      </c>
      <c r="C140" s="864" t="s">
        <v>1</v>
      </c>
      <c r="D140" s="111">
        <v>8</v>
      </c>
      <c r="E140" s="112">
        <v>4</v>
      </c>
      <c r="F140" s="109">
        <v>8</v>
      </c>
      <c r="G140" s="865">
        <f t="shared" si="11"/>
        <v>4</v>
      </c>
      <c r="H140" s="868">
        <f t="shared" si="12"/>
        <v>0</v>
      </c>
      <c r="I140" s="865">
        <f t="shared" si="12"/>
        <v>0</v>
      </c>
    </row>
    <row r="141" spans="1:9" ht="13.5">
      <c r="A141" s="72">
        <v>39</v>
      </c>
      <c r="B141" s="109" t="s">
        <v>1078</v>
      </c>
      <c r="C141" s="864" t="s">
        <v>1</v>
      </c>
      <c r="D141" s="111">
        <v>20</v>
      </c>
      <c r="E141" s="112">
        <v>1.2</v>
      </c>
      <c r="F141" s="109">
        <v>20</v>
      </c>
      <c r="G141" s="865">
        <f t="shared" si="11"/>
        <v>1.2</v>
      </c>
      <c r="H141" s="868">
        <f t="shared" si="12"/>
        <v>0</v>
      </c>
      <c r="I141" s="865">
        <f t="shared" si="12"/>
        <v>0</v>
      </c>
    </row>
    <row r="142" spans="1:9" ht="13.5">
      <c r="A142" s="72">
        <v>40</v>
      </c>
      <c r="B142" s="109" t="s">
        <v>1079</v>
      </c>
      <c r="C142" s="864" t="s">
        <v>1</v>
      </c>
      <c r="D142" s="111">
        <v>60</v>
      </c>
      <c r="E142" s="112">
        <v>3.6</v>
      </c>
      <c r="F142" s="109">
        <v>60</v>
      </c>
      <c r="G142" s="865">
        <f t="shared" si="11"/>
        <v>3.6</v>
      </c>
      <c r="H142" s="868">
        <f t="shared" si="12"/>
        <v>0</v>
      </c>
      <c r="I142" s="865">
        <f t="shared" si="12"/>
        <v>0</v>
      </c>
    </row>
    <row r="143" spans="1:9" ht="13.5">
      <c r="A143" s="72">
        <v>41</v>
      </c>
      <c r="B143" s="109" t="s">
        <v>1080</v>
      </c>
      <c r="C143" s="864" t="s">
        <v>1</v>
      </c>
      <c r="D143" s="111">
        <v>60</v>
      </c>
      <c r="E143" s="112">
        <v>2.4</v>
      </c>
      <c r="F143" s="109">
        <v>60</v>
      </c>
      <c r="G143" s="865">
        <f t="shared" si="11"/>
        <v>2.4</v>
      </c>
      <c r="H143" s="868">
        <f t="shared" si="12"/>
        <v>0</v>
      </c>
      <c r="I143" s="865">
        <f t="shared" si="12"/>
        <v>0</v>
      </c>
    </row>
    <row r="144" spans="1:9" ht="13.5">
      <c r="A144" s="72">
        <v>42</v>
      </c>
      <c r="B144" s="109" t="s">
        <v>1081</v>
      </c>
      <c r="C144" s="864" t="s">
        <v>1</v>
      </c>
      <c r="D144" s="111">
        <v>60</v>
      </c>
      <c r="E144" s="112">
        <v>1.8</v>
      </c>
      <c r="F144" s="109">
        <v>60</v>
      </c>
      <c r="G144" s="865">
        <f t="shared" si="11"/>
        <v>1.8</v>
      </c>
      <c r="H144" s="868">
        <f t="shared" si="12"/>
        <v>0</v>
      </c>
      <c r="I144" s="865">
        <f t="shared" si="12"/>
        <v>0</v>
      </c>
    </row>
    <row r="145" spans="1:9" ht="13.5">
      <c r="A145" s="72">
        <v>43</v>
      </c>
      <c r="B145" s="109" t="s">
        <v>1082</v>
      </c>
      <c r="C145" s="864" t="s">
        <v>1</v>
      </c>
      <c r="D145" s="111">
        <v>100</v>
      </c>
      <c r="E145" s="112">
        <v>20</v>
      </c>
      <c r="F145" s="109">
        <v>100</v>
      </c>
      <c r="G145" s="865">
        <f t="shared" si="11"/>
        <v>20</v>
      </c>
      <c r="H145" s="868">
        <f t="shared" si="12"/>
        <v>0</v>
      </c>
      <c r="I145" s="865">
        <f t="shared" si="12"/>
        <v>0</v>
      </c>
    </row>
    <row r="146" spans="1:9" ht="13.5">
      <c r="A146" s="72">
        <v>44</v>
      </c>
      <c r="B146" s="109" t="s">
        <v>1083</v>
      </c>
      <c r="C146" s="864" t="s">
        <v>1</v>
      </c>
      <c r="D146" s="111">
        <v>100</v>
      </c>
      <c r="E146" s="112">
        <v>20</v>
      </c>
      <c r="F146" s="109">
        <v>100</v>
      </c>
      <c r="G146" s="865">
        <f t="shared" si="11"/>
        <v>20</v>
      </c>
      <c r="H146" s="868">
        <f t="shared" si="12"/>
        <v>0</v>
      </c>
      <c r="I146" s="865">
        <f t="shared" si="12"/>
        <v>0</v>
      </c>
    </row>
    <row r="147" spans="1:9" ht="13.5">
      <c r="A147" s="72">
        <v>45</v>
      </c>
      <c r="B147" s="109" t="s">
        <v>1083</v>
      </c>
      <c r="C147" s="864" t="s">
        <v>1</v>
      </c>
      <c r="D147" s="111">
        <v>500</v>
      </c>
      <c r="E147" s="112">
        <v>60</v>
      </c>
      <c r="F147" s="109">
        <v>500</v>
      </c>
      <c r="G147" s="865">
        <f t="shared" si="11"/>
        <v>60</v>
      </c>
      <c r="H147" s="868">
        <f t="shared" si="12"/>
        <v>0</v>
      </c>
      <c r="I147" s="865">
        <f t="shared" si="12"/>
        <v>0</v>
      </c>
    </row>
    <row r="148" spans="1:9" ht="13.5">
      <c r="A148" s="72">
        <v>46</v>
      </c>
      <c r="B148" s="109" t="s">
        <v>1084</v>
      </c>
      <c r="C148" s="864" t="s">
        <v>1</v>
      </c>
      <c r="D148" s="111">
        <v>25</v>
      </c>
      <c r="E148" s="112">
        <v>87.5</v>
      </c>
      <c r="F148" s="109">
        <v>25</v>
      </c>
      <c r="G148" s="865">
        <f t="shared" si="11"/>
        <v>87.5</v>
      </c>
      <c r="H148" s="868">
        <f t="shared" si="12"/>
        <v>0</v>
      </c>
      <c r="I148" s="865">
        <f t="shared" si="12"/>
        <v>0</v>
      </c>
    </row>
    <row r="149" spans="1:9" ht="13.5">
      <c r="A149" s="72">
        <v>47</v>
      </c>
      <c r="B149" s="109" t="s">
        <v>1084</v>
      </c>
      <c r="C149" s="864" t="s">
        <v>1</v>
      </c>
      <c r="D149" s="111">
        <v>300</v>
      </c>
      <c r="E149" s="112">
        <v>1050</v>
      </c>
      <c r="F149" s="109">
        <v>300</v>
      </c>
      <c r="G149" s="865">
        <f t="shared" si="11"/>
        <v>1050</v>
      </c>
      <c r="H149" s="868">
        <f t="shared" si="12"/>
        <v>0</v>
      </c>
      <c r="I149" s="865">
        <f t="shared" si="12"/>
        <v>0</v>
      </c>
    </row>
    <row r="150" spans="1:9" ht="13.5">
      <c r="A150" s="72">
        <v>48</v>
      </c>
      <c r="B150" s="109" t="s">
        <v>1084</v>
      </c>
      <c r="C150" s="864" t="s">
        <v>1</v>
      </c>
      <c r="D150" s="111">
        <v>55</v>
      </c>
      <c r="E150" s="112">
        <v>220</v>
      </c>
      <c r="F150" s="109">
        <v>55</v>
      </c>
      <c r="G150" s="865">
        <f t="shared" si="11"/>
        <v>220</v>
      </c>
      <c r="H150" s="868">
        <f t="shared" si="12"/>
        <v>0</v>
      </c>
      <c r="I150" s="865">
        <f t="shared" si="12"/>
        <v>0</v>
      </c>
    </row>
    <row r="151" spans="1:9" ht="13.5">
      <c r="A151" s="72">
        <v>49</v>
      </c>
      <c r="B151" s="109" t="s">
        <v>1084</v>
      </c>
      <c r="C151" s="864" t="s">
        <v>1</v>
      </c>
      <c r="D151" s="111">
        <v>40</v>
      </c>
      <c r="E151" s="112">
        <v>200</v>
      </c>
      <c r="F151" s="109">
        <v>40</v>
      </c>
      <c r="G151" s="865">
        <f t="shared" si="11"/>
        <v>200</v>
      </c>
      <c r="H151" s="868">
        <f t="shared" si="12"/>
        <v>0</v>
      </c>
      <c r="I151" s="865">
        <f t="shared" si="12"/>
        <v>0</v>
      </c>
    </row>
    <row r="152" spans="1:9" ht="13.5">
      <c r="A152" s="72">
        <v>50</v>
      </c>
      <c r="B152" s="109" t="s">
        <v>1084</v>
      </c>
      <c r="C152" s="864" t="s">
        <v>1</v>
      </c>
      <c r="D152" s="111">
        <v>1</v>
      </c>
      <c r="E152" s="112">
        <v>12</v>
      </c>
      <c r="F152" s="109">
        <v>1</v>
      </c>
      <c r="G152" s="865">
        <f t="shared" si="11"/>
        <v>12</v>
      </c>
      <c r="H152" s="868">
        <f t="shared" si="12"/>
        <v>0</v>
      </c>
      <c r="I152" s="865">
        <f t="shared" si="12"/>
        <v>0</v>
      </c>
    </row>
    <row r="153" spans="1:9" ht="13.5">
      <c r="A153" s="72">
        <v>51</v>
      </c>
      <c r="B153" s="109" t="s">
        <v>1084</v>
      </c>
      <c r="C153" s="864" t="s">
        <v>1</v>
      </c>
      <c r="D153" s="111">
        <v>1</v>
      </c>
      <c r="E153" s="112">
        <v>14</v>
      </c>
      <c r="F153" s="109">
        <v>1</v>
      </c>
      <c r="G153" s="865">
        <f t="shared" si="11"/>
        <v>14</v>
      </c>
      <c r="H153" s="868">
        <f t="shared" si="12"/>
        <v>0</v>
      </c>
      <c r="I153" s="865">
        <f t="shared" si="12"/>
        <v>0</v>
      </c>
    </row>
    <row r="154" spans="1:9" ht="13.5">
      <c r="A154" s="72">
        <v>52</v>
      </c>
      <c r="B154" s="109" t="s">
        <v>1084</v>
      </c>
      <c r="C154" s="864" t="s">
        <v>1</v>
      </c>
      <c r="D154" s="111">
        <v>1</v>
      </c>
      <c r="E154" s="112">
        <v>14</v>
      </c>
      <c r="F154" s="109">
        <v>1</v>
      </c>
      <c r="G154" s="865">
        <f t="shared" si="11"/>
        <v>14</v>
      </c>
      <c r="H154" s="868">
        <f t="shared" si="12"/>
        <v>0</v>
      </c>
      <c r="I154" s="865">
        <f t="shared" si="12"/>
        <v>0</v>
      </c>
    </row>
    <row r="155" spans="1:9" ht="13.5">
      <c r="A155" s="72">
        <v>53</v>
      </c>
      <c r="B155" s="109" t="s">
        <v>1084</v>
      </c>
      <c r="C155" s="864" t="s">
        <v>1</v>
      </c>
      <c r="D155" s="111">
        <v>1</v>
      </c>
      <c r="E155" s="112">
        <v>14</v>
      </c>
      <c r="F155" s="109">
        <v>1</v>
      </c>
      <c r="G155" s="865">
        <f t="shared" si="11"/>
        <v>14</v>
      </c>
      <c r="H155" s="868">
        <f t="shared" si="12"/>
        <v>0</v>
      </c>
      <c r="I155" s="865">
        <f t="shared" si="12"/>
        <v>0</v>
      </c>
    </row>
    <row r="156" spans="1:9" ht="13.5">
      <c r="A156" s="72">
        <v>54</v>
      </c>
      <c r="B156" s="109" t="s">
        <v>1084</v>
      </c>
      <c r="C156" s="864" t="s">
        <v>1</v>
      </c>
      <c r="D156" s="111">
        <v>1</v>
      </c>
      <c r="E156" s="112">
        <v>14</v>
      </c>
      <c r="F156" s="109">
        <v>1</v>
      </c>
      <c r="G156" s="865">
        <f t="shared" si="11"/>
        <v>14</v>
      </c>
      <c r="H156" s="868">
        <f t="shared" si="12"/>
        <v>0</v>
      </c>
      <c r="I156" s="865">
        <f t="shared" si="12"/>
        <v>0</v>
      </c>
    </row>
    <row r="157" spans="1:9" ht="13.5">
      <c r="A157" s="72">
        <v>55</v>
      </c>
      <c r="B157" s="109" t="s">
        <v>1085</v>
      </c>
      <c r="C157" s="864" t="s">
        <v>1</v>
      </c>
      <c r="D157" s="111">
        <v>2</v>
      </c>
      <c r="E157" s="112">
        <v>70</v>
      </c>
      <c r="F157" s="109">
        <v>2</v>
      </c>
      <c r="G157" s="865">
        <f t="shared" si="11"/>
        <v>70</v>
      </c>
      <c r="H157" s="868">
        <f t="shared" si="12"/>
        <v>0</v>
      </c>
      <c r="I157" s="865">
        <f t="shared" si="12"/>
        <v>0</v>
      </c>
    </row>
    <row r="158" spans="1:9" ht="13.5">
      <c r="A158" s="72">
        <v>56</v>
      </c>
      <c r="B158" s="109" t="s">
        <v>1086</v>
      </c>
      <c r="C158" s="864" t="s">
        <v>1</v>
      </c>
      <c r="D158" s="111">
        <v>1</v>
      </c>
      <c r="E158" s="112">
        <v>80.56</v>
      </c>
      <c r="F158" s="109">
        <v>1</v>
      </c>
      <c r="G158" s="865">
        <f t="shared" si="11"/>
        <v>80.56</v>
      </c>
      <c r="H158" s="868">
        <f t="shared" si="12"/>
        <v>0</v>
      </c>
      <c r="I158" s="865">
        <f t="shared" si="12"/>
        <v>0</v>
      </c>
    </row>
    <row r="159" spans="1:9" ht="13.5">
      <c r="A159" s="72">
        <v>57</v>
      </c>
      <c r="B159" s="109" t="s">
        <v>1087</v>
      </c>
      <c r="C159" s="864" t="s">
        <v>1</v>
      </c>
      <c r="D159" s="111">
        <v>15</v>
      </c>
      <c r="E159" s="112">
        <v>105</v>
      </c>
      <c r="F159" s="109">
        <v>15</v>
      </c>
      <c r="G159" s="865">
        <f t="shared" si="11"/>
        <v>105</v>
      </c>
      <c r="H159" s="868">
        <f t="shared" si="12"/>
        <v>0</v>
      </c>
      <c r="I159" s="865">
        <f t="shared" si="12"/>
        <v>0</v>
      </c>
    </row>
    <row r="160" spans="1:9" ht="13.5">
      <c r="A160" s="72">
        <v>58</v>
      </c>
      <c r="B160" s="109" t="s">
        <v>1088</v>
      </c>
      <c r="C160" s="864" t="s">
        <v>1</v>
      </c>
      <c r="D160" s="111">
        <v>30</v>
      </c>
      <c r="E160" s="112">
        <v>120</v>
      </c>
      <c r="F160" s="109">
        <v>30</v>
      </c>
      <c r="G160" s="865">
        <f t="shared" si="11"/>
        <v>120</v>
      </c>
      <c r="H160" s="868">
        <f t="shared" si="12"/>
        <v>0</v>
      </c>
      <c r="I160" s="865">
        <f t="shared" si="12"/>
        <v>0</v>
      </c>
    </row>
    <row r="161" spans="1:9" ht="14.25">
      <c r="A161" s="546">
        <v>15</v>
      </c>
      <c r="B161" s="546" t="s">
        <v>329</v>
      </c>
      <c r="C161" s="869">
        <v>4264</v>
      </c>
      <c r="D161" s="870"/>
      <c r="E161" s="852">
        <f>SUM(E164:E167)</f>
        <v>3910.045</v>
      </c>
      <c r="F161" s="853"/>
      <c r="G161" s="852">
        <f>SUM(G164:G167)</f>
        <v>3910.045</v>
      </c>
      <c r="H161" s="853">
        <f>F161-D161</f>
        <v>0</v>
      </c>
      <c r="I161" s="872">
        <f>G161-E161</f>
        <v>0</v>
      </c>
    </row>
    <row r="162" spans="1:9" ht="14.25">
      <c r="A162" s="854"/>
      <c r="B162" s="855" t="s">
        <v>148</v>
      </c>
      <c r="C162" s="791"/>
      <c r="D162" s="623"/>
      <c r="E162" s="856"/>
      <c r="F162" s="861"/>
      <c r="G162" s="449"/>
      <c r="H162" s="862"/>
      <c r="I162" s="449"/>
    </row>
    <row r="163" spans="1:9" ht="14.25">
      <c r="A163" s="858"/>
      <c r="B163" s="859" t="s">
        <v>389</v>
      </c>
      <c r="C163" s="791"/>
      <c r="D163" s="623"/>
      <c r="E163" s="856"/>
      <c r="F163" s="861"/>
      <c r="G163" s="449"/>
      <c r="H163" s="862"/>
      <c r="I163" s="449"/>
    </row>
    <row r="164" spans="1:9" ht="13.5">
      <c r="A164" s="72">
        <v>1</v>
      </c>
      <c r="B164" s="109" t="s">
        <v>1089</v>
      </c>
      <c r="C164" s="864" t="s">
        <v>1</v>
      </c>
      <c r="D164" s="109">
        <v>5200</v>
      </c>
      <c r="E164" s="112">
        <v>2652</v>
      </c>
      <c r="F164" s="109"/>
      <c r="G164" s="109"/>
      <c r="H164" s="112">
        <f>F164-D164</f>
        <v>-5200</v>
      </c>
      <c r="I164" s="112">
        <f>G164-E164</f>
        <v>-2652</v>
      </c>
    </row>
    <row r="165" spans="1:9" ht="13.5">
      <c r="A165" s="72">
        <v>2</v>
      </c>
      <c r="B165" s="109" t="s">
        <v>1090</v>
      </c>
      <c r="C165" s="864" t="s">
        <v>1</v>
      </c>
      <c r="D165" s="109">
        <v>1990</v>
      </c>
      <c r="E165" s="871">
        <v>986.045</v>
      </c>
      <c r="F165" s="109">
        <v>7342</v>
      </c>
      <c r="G165" s="109">
        <v>3638.045</v>
      </c>
      <c r="H165" s="112">
        <f aca="true" t="shared" si="13" ref="H165:I168">F165-D165</f>
        <v>5352</v>
      </c>
      <c r="I165" s="112">
        <f t="shared" si="13"/>
        <v>2652</v>
      </c>
    </row>
    <row r="166" spans="1:9" ht="13.5">
      <c r="A166" s="72">
        <v>3</v>
      </c>
      <c r="B166" s="109" t="s">
        <v>1091</v>
      </c>
      <c r="C166" s="864" t="s">
        <v>1</v>
      </c>
      <c r="D166" s="109">
        <v>4</v>
      </c>
      <c r="E166" s="112">
        <v>136</v>
      </c>
      <c r="F166" s="109">
        <v>4</v>
      </c>
      <c r="G166" s="112">
        <f>E166</f>
        <v>136</v>
      </c>
      <c r="H166" s="112">
        <f t="shared" si="13"/>
        <v>0</v>
      </c>
      <c r="I166" s="112">
        <f t="shared" si="13"/>
        <v>0</v>
      </c>
    </row>
    <row r="167" spans="1:9" ht="13.5">
      <c r="A167" s="72">
        <v>4</v>
      </c>
      <c r="B167" s="109" t="s">
        <v>1091</v>
      </c>
      <c r="C167" s="864" t="s">
        <v>1</v>
      </c>
      <c r="D167" s="109">
        <v>4</v>
      </c>
      <c r="E167" s="112">
        <v>136</v>
      </c>
      <c r="F167" s="109">
        <v>4</v>
      </c>
      <c r="G167" s="112">
        <f>E167</f>
        <v>136</v>
      </c>
      <c r="H167" s="112">
        <f t="shared" si="13"/>
        <v>0</v>
      </c>
      <c r="I167" s="112">
        <f t="shared" si="13"/>
        <v>0</v>
      </c>
    </row>
    <row r="168" spans="1:9" ht="14.25">
      <c r="A168" s="546">
        <v>16</v>
      </c>
      <c r="B168" s="867" t="s">
        <v>1092</v>
      </c>
      <c r="C168" s="851">
        <v>4267</v>
      </c>
      <c r="D168" s="849"/>
      <c r="E168" s="852">
        <f>SUM(E171:E216)</f>
        <v>766.64</v>
      </c>
      <c r="F168" s="853"/>
      <c r="G168" s="852">
        <f>SUM(G171:G216)</f>
        <v>1021.64</v>
      </c>
      <c r="H168" s="853">
        <f t="shared" si="13"/>
        <v>0</v>
      </c>
      <c r="I168" s="852">
        <f t="shared" si="13"/>
        <v>255</v>
      </c>
    </row>
    <row r="169" spans="1:9" ht="14.25">
      <c r="A169" s="854"/>
      <c r="B169" s="855" t="s">
        <v>148</v>
      </c>
      <c r="C169" s="791"/>
      <c r="D169" s="623"/>
      <c r="E169" s="856"/>
      <c r="F169" s="861"/>
      <c r="G169" s="449"/>
      <c r="H169" s="862"/>
      <c r="I169" s="449"/>
    </row>
    <row r="170" spans="1:9" ht="14.25">
      <c r="A170" s="858"/>
      <c r="B170" s="859" t="s">
        <v>389</v>
      </c>
      <c r="C170" s="791"/>
      <c r="D170" s="623"/>
      <c r="E170" s="856"/>
      <c r="F170" s="861"/>
      <c r="G170" s="449"/>
      <c r="H170" s="862"/>
      <c r="I170" s="449"/>
    </row>
    <row r="171" spans="1:9" ht="13.5">
      <c r="A171" s="72">
        <v>1</v>
      </c>
      <c r="B171" s="109" t="s">
        <v>1093</v>
      </c>
      <c r="C171" s="864" t="s">
        <v>1</v>
      </c>
      <c r="D171" s="111">
        <v>10</v>
      </c>
      <c r="E171" s="112">
        <v>6.5</v>
      </c>
      <c r="F171" s="111">
        <f>D171</f>
        <v>10</v>
      </c>
      <c r="G171" s="112">
        <f>E171</f>
        <v>6.5</v>
      </c>
      <c r="H171" s="111">
        <f>F171-D171</f>
        <v>0</v>
      </c>
      <c r="I171" s="112">
        <f>G171-E171</f>
        <v>0</v>
      </c>
    </row>
    <row r="172" spans="1:9" ht="13.5">
      <c r="A172" s="72">
        <v>2</v>
      </c>
      <c r="B172" s="109" t="s">
        <v>1094</v>
      </c>
      <c r="C172" s="864" t="s">
        <v>1</v>
      </c>
      <c r="D172" s="111">
        <v>10</v>
      </c>
      <c r="E172" s="112">
        <v>11.5</v>
      </c>
      <c r="F172" s="111">
        <f aca="true" t="shared" si="14" ref="F172:G195">D172</f>
        <v>10</v>
      </c>
      <c r="G172" s="112">
        <f t="shared" si="14"/>
        <v>11.5</v>
      </c>
      <c r="H172" s="111">
        <f aca="true" t="shared" si="15" ref="H172:I195">F172-D172</f>
        <v>0</v>
      </c>
      <c r="I172" s="112">
        <f t="shared" si="15"/>
        <v>0</v>
      </c>
    </row>
    <row r="173" spans="1:9" ht="13.5">
      <c r="A173" s="72">
        <v>3</v>
      </c>
      <c r="B173" s="109" t="s">
        <v>1095</v>
      </c>
      <c r="C173" s="864" t="s">
        <v>1</v>
      </c>
      <c r="D173" s="111">
        <v>10</v>
      </c>
      <c r="E173" s="112">
        <v>20</v>
      </c>
      <c r="F173" s="111">
        <f t="shared" si="14"/>
        <v>10</v>
      </c>
      <c r="G173" s="112">
        <f t="shared" si="14"/>
        <v>20</v>
      </c>
      <c r="H173" s="111">
        <f t="shared" si="15"/>
        <v>0</v>
      </c>
      <c r="I173" s="112">
        <f t="shared" si="15"/>
        <v>0</v>
      </c>
    </row>
    <row r="174" spans="1:9" ht="13.5">
      <c r="A174" s="72">
        <v>4</v>
      </c>
      <c r="B174" s="109" t="s">
        <v>1096</v>
      </c>
      <c r="C174" s="864" t="s">
        <v>1</v>
      </c>
      <c r="D174" s="111">
        <v>10</v>
      </c>
      <c r="E174" s="112">
        <v>6</v>
      </c>
      <c r="F174" s="111">
        <f t="shared" si="14"/>
        <v>10</v>
      </c>
      <c r="G174" s="112">
        <f t="shared" si="14"/>
        <v>6</v>
      </c>
      <c r="H174" s="111">
        <f t="shared" si="15"/>
        <v>0</v>
      </c>
      <c r="I174" s="112">
        <f t="shared" si="15"/>
        <v>0</v>
      </c>
    </row>
    <row r="175" spans="1:9" ht="13.5">
      <c r="A175" s="72">
        <v>5</v>
      </c>
      <c r="B175" s="109" t="s">
        <v>1097</v>
      </c>
      <c r="C175" s="864" t="s">
        <v>1</v>
      </c>
      <c r="D175" s="111">
        <v>11</v>
      </c>
      <c r="E175" s="112">
        <v>19.8</v>
      </c>
      <c r="F175" s="111">
        <f t="shared" si="14"/>
        <v>11</v>
      </c>
      <c r="G175" s="112">
        <f t="shared" si="14"/>
        <v>19.8</v>
      </c>
      <c r="H175" s="111">
        <f t="shared" si="15"/>
        <v>0</v>
      </c>
      <c r="I175" s="112">
        <f t="shared" si="15"/>
        <v>0</v>
      </c>
    </row>
    <row r="176" spans="1:9" ht="13.5">
      <c r="A176" s="72">
        <v>6</v>
      </c>
      <c r="B176" s="109" t="s">
        <v>1098</v>
      </c>
      <c r="C176" s="864" t="s">
        <v>1</v>
      </c>
      <c r="D176" s="111">
        <v>5</v>
      </c>
      <c r="E176" s="112">
        <v>12.5</v>
      </c>
      <c r="F176" s="111">
        <f t="shared" si="14"/>
        <v>5</v>
      </c>
      <c r="G176" s="112">
        <f t="shared" si="14"/>
        <v>12.5</v>
      </c>
      <c r="H176" s="111">
        <f t="shared" si="15"/>
        <v>0</v>
      </c>
      <c r="I176" s="112">
        <f t="shared" si="15"/>
        <v>0</v>
      </c>
    </row>
    <row r="177" spans="1:9" ht="13.5">
      <c r="A177" s="72">
        <v>7</v>
      </c>
      <c r="B177" s="109" t="s">
        <v>1099</v>
      </c>
      <c r="C177" s="864" t="s">
        <v>1</v>
      </c>
      <c r="D177" s="111">
        <v>2025</v>
      </c>
      <c r="E177" s="112">
        <v>243</v>
      </c>
      <c r="F177" s="111">
        <f t="shared" si="14"/>
        <v>2025</v>
      </c>
      <c r="G177" s="112">
        <f t="shared" si="14"/>
        <v>243</v>
      </c>
      <c r="H177" s="111">
        <f t="shared" si="15"/>
        <v>0</v>
      </c>
      <c r="I177" s="112">
        <f t="shared" si="15"/>
        <v>0</v>
      </c>
    </row>
    <row r="178" spans="1:9" ht="13.5">
      <c r="A178" s="72">
        <v>8</v>
      </c>
      <c r="B178" s="109" t="s">
        <v>1100</v>
      </c>
      <c r="C178" s="864" t="s">
        <v>1</v>
      </c>
      <c r="D178" s="111">
        <v>45</v>
      </c>
      <c r="E178" s="112">
        <v>27</v>
      </c>
      <c r="F178" s="111">
        <f t="shared" si="14"/>
        <v>45</v>
      </c>
      <c r="G178" s="112">
        <f t="shared" si="14"/>
        <v>27</v>
      </c>
      <c r="H178" s="111">
        <f t="shared" si="15"/>
        <v>0</v>
      </c>
      <c r="I178" s="112">
        <f t="shared" si="15"/>
        <v>0</v>
      </c>
    </row>
    <row r="179" spans="1:9" ht="13.5">
      <c r="A179" s="72">
        <v>9</v>
      </c>
      <c r="B179" s="109" t="s">
        <v>1101</v>
      </c>
      <c r="C179" s="864" t="s">
        <v>1</v>
      </c>
      <c r="D179" s="111">
        <v>17</v>
      </c>
      <c r="E179" s="112">
        <v>68</v>
      </c>
      <c r="F179" s="111">
        <f t="shared" si="14"/>
        <v>17</v>
      </c>
      <c r="G179" s="112">
        <f t="shared" si="14"/>
        <v>68</v>
      </c>
      <c r="H179" s="111">
        <f t="shared" si="15"/>
        <v>0</v>
      </c>
      <c r="I179" s="112">
        <f t="shared" si="15"/>
        <v>0</v>
      </c>
    </row>
    <row r="180" spans="1:9" ht="13.5">
      <c r="A180" s="72">
        <v>10</v>
      </c>
      <c r="B180" s="109" t="s">
        <v>1102</v>
      </c>
      <c r="C180" s="864" t="s">
        <v>1</v>
      </c>
      <c r="D180" s="111">
        <v>16</v>
      </c>
      <c r="E180" s="112">
        <v>16</v>
      </c>
      <c r="F180" s="111">
        <f t="shared" si="14"/>
        <v>16</v>
      </c>
      <c r="G180" s="112">
        <f t="shared" si="14"/>
        <v>16</v>
      </c>
      <c r="H180" s="111">
        <f t="shared" si="15"/>
        <v>0</v>
      </c>
      <c r="I180" s="112">
        <f t="shared" si="15"/>
        <v>0</v>
      </c>
    </row>
    <row r="181" spans="1:9" ht="13.5">
      <c r="A181" s="72">
        <v>11</v>
      </c>
      <c r="B181" s="109" t="s">
        <v>1102</v>
      </c>
      <c r="C181" s="864" t="s">
        <v>1</v>
      </c>
      <c r="D181" s="111">
        <v>4</v>
      </c>
      <c r="E181" s="112">
        <v>22</v>
      </c>
      <c r="F181" s="111">
        <f t="shared" si="14"/>
        <v>4</v>
      </c>
      <c r="G181" s="112">
        <f t="shared" si="14"/>
        <v>22</v>
      </c>
      <c r="H181" s="111">
        <f t="shared" si="15"/>
        <v>0</v>
      </c>
      <c r="I181" s="112">
        <f t="shared" si="15"/>
        <v>0</v>
      </c>
    </row>
    <row r="182" spans="1:9" ht="13.5">
      <c r="A182" s="72">
        <v>12</v>
      </c>
      <c r="B182" s="109" t="s">
        <v>1103</v>
      </c>
      <c r="C182" s="864" t="s">
        <v>1</v>
      </c>
      <c r="D182" s="111">
        <v>5</v>
      </c>
      <c r="E182" s="112">
        <v>15</v>
      </c>
      <c r="F182" s="111">
        <f t="shared" si="14"/>
        <v>5</v>
      </c>
      <c r="G182" s="112">
        <f t="shared" si="14"/>
        <v>15</v>
      </c>
      <c r="H182" s="111">
        <f t="shared" si="15"/>
        <v>0</v>
      </c>
      <c r="I182" s="112">
        <f t="shared" si="15"/>
        <v>0</v>
      </c>
    </row>
    <row r="183" spans="1:9" ht="13.5">
      <c r="A183" s="72">
        <v>13</v>
      </c>
      <c r="B183" s="109" t="s">
        <v>1104</v>
      </c>
      <c r="C183" s="864" t="s">
        <v>1</v>
      </c>
      <c r="D183" s="111">
        <v>1</v>
      </c>
      <c r="E183" s="112">
        <v>28</v>
      </c>
      <c r="F183" s="111">
        <f t="shared" si="14"/>
        <v>1</v>
      </c>
      <c r="G183" s="112">
        <f t="shared" si="14"/>
        <v>28</v>
      </c>
      <c r="H183" s="111">
        <f t="shared" si="15"/>
        <v>0</v>
      </c>
      <c r="I183" s="112">
        <f t="shared" si="15"/>
        <v>0</v>
      </c>
    </row>
    <row r="184" spans="1:9" ht="13.5">
      <c r="A184" s="72">
        <v>14</v>
      </c>
      <c r="B184" s="109" t="s">
        <v>1105</v>
      </c>
      <c r="C184" s="864" t="s">
        <v>1</v>
      </c>
      <c r="D184" s="111">
        <v>5</v>
      </c>
      <c r="E184" s="112">
        <v>8.5</v>
      </c>
      <c r="F184" s="111">
        <f t="shared" si="14"/>
        <v>5</v>
      </c>
      <c r="G184" s="112">
        <f t="shared" si="14"/>
        <v>8.5</v>
      </c>
      <c r="H184" s="111">
        <f t="shared" si="15"/>
        <v>0</v>
      </c>
      <c r="I184" s="112">
        <f t="shared" si="15"/>
        <v>0</v>
      </c>
    </row>
    <row r="185" spans="1:9" ht="13.5">
      <c r="A185" s="72">
        <v>15</v>
      </c>
      <c r="B185" s="109" t="s">
        <v>1106</v>
      </c>
      <c r="C185" s="864" t="s">
        <v>1</v>
      </c>
      <c r="D185" s="111">
        <v>10</v>
      </c>
      <c r="E185" s="112">
        <v>9</v>
      </c>
      <c r="F185" s="111">
        <f t="shared" si="14"/>
        <v>10</v>
      </c>
      <c r="G185" s="112">
        <f t="shared" si="14"/>
        <v>9</v>
      </c>
      <c r="H185" s="111">
        <f t="shared" si="15"/>
        <v>0</v>
      </c>
      <c r="I185" s="112">
        <f t="shared" si="15"/>
        <v>0</v>
      </c>
    </row>
    <row r="186" spans="1:9" ht="13.5">
      <c r="A186" s="72">
        <v>16</v>
      </c>
      <c r="B186" s="109" t="s">
        <v>1107</v>
      </c>
      <c r="C186" s="864" t="s">
        <v>1</v>
      </c>
      <c r="D186" s="111">
        <v>9</v>
      </c>
      <c r="E186" s="112">
        <v>12.6</v>
      </c>
      <c r="F186" s="111">
        <f t="shared" si="14"/>
        <v>9</v>
      </c>
      <c r="G186" s="112">
        <f t="shared" si="14"/>
        <v>12.6</v>
      </c>
      <c r="H186" s="111">
        <f t="shared" si="15"/>
        <v>0</v>
      </c>
      <c r="I186" s="112">
        <f t="shared" si="15"/>
        <v>0</v>
      </c>
    </row>
    <row r="187" spans="1:9" ht="13.5">
      <c r="A187" s="72">
        <v>17</v>
      </c>
      <c r="B187" s="109" t="s">
        <v>1108</v>
      </c>
      <c r="C187" s="864" t="s">
        <v>1</v>
      </c>
      <c r="D187" s="111">
        <v>20</v>
      </c>
      <c r="E187" s="112">
        <v>24</v>
      </c>
      <c r="F187" s="111">
        <f t="shared" si="14"/>
        <v>20</v>
      </c>
      <c r="G187" s="112">
        <f t="shared" si="14"/>
        <v>24</v>
      </c>
      <c r="H187" s="111">
        <f t="shared" si="15"/>
        <v>0</v>
      </c>
      <c r="I187" s="112">
        <f t="shared" si="15"/>
        <v>0</v>
      </c>
    </row>
    <row r="188" spans="1:9" ht="13.5">
      <c r="A188" s="72">
        <v>18</v>
      </c>
      <c r="B188" s="109" t="s">
        <v>1109</v>
      </c>
      <c r="C188" s="864" t="s">
        <v>1</v>
      </c>
      <c r="D188" s="111">
        <v>83</v>
      </c>
      <c r="E188" s="112">
        <v>16.6</v>
      </c>
      <c r="F188" s="111">
        <f t="shared" si="14"/>
        <v>83</v>
      </c>
      <c r="G188" s="112">
        <f t="shared" si="14"/>
        <v>16.6</v>
      </c>
      <c r="H188" s="111">
        <f t="shared" si="15"/>
        <v>0</v>
      </c>
      <c r="I188" s="112">
        <f t="shared" si="15"/>
        <v>0</v>
      </c>
    </row>
    <row r="189" spans="1:9" ht="13.5">
      <c r="A189" s="72">
        <v>19</v>
      </c>
      <c r="B189" s="109" t="s">
        <v>1110</v>
      </c>
      <c r="C189" s="864" t="s">
        <v>1</v>
      </c>
      <c r="D189" s="111">
        <v>40</v>
      </c>
      <c r="E189" s="112">
        <v>22</v>
      </c>
      <c r="F189" s="111">
        <f t="shared" si="14"/>
        <v>40</v>
      </c>
      <c r="G189" s="112">
        <f t="shared" si="14"/>
        <v>22</v>
      </c>
      <c r="H189" s="111">
        <f t="shared" si="15"/>
        <v>0</v>
      </c>
      <c r="I189" s="112">
        <f t="shared" si="15"/>
        <v>0</v>
      </c>
    </row>
    <row r="190" spans="1:9" ht="13.5">
      <c r="A190" s="72">
        <v>20</v>
      </c>
      <c r="B190" s="109" t="s">
        <v>1111</v>
      </c>
      <c r="C190" s="864" t="s">
        <v>1</v>
      </c>
      <c r="D190" s="111">
        <v>60</v>
      </c>
      <c r="E190" s="112">
        <v>24</v>
      </c>
      <c r="F190" s="111">
        <f t="shared" si="14"/>
        <v>60</v>
      </c>
      <c r="G190" s="112">
        <f t="shared" si="14"/>
        <v>24</v>
      </c>
      <c r="H190" s="111">
        <f t="shared" si="15"/>
        <v>0</v>
      </c>
      <c r="I190" s="112">
        <f t="shared" si="15"/>
        <v>0</v>
      </c>
    </row>
    <row r="191" spans="1:9" ht="13.5">
      <c r="A191" s="72">
        <v>21</v>
      </c>
      <c r="B191" s="109" t="s">
        <v>1112</v>
      </c>
      <c r="C191" s="864" t="s">
        <v>1</v>
      </c>
      <c r="D191" s="111">
        <v>1</v>
      </c>
      <c r="E191" s="112">
        <v>6</v>
      </c>
      <c r="F191" s="111">
        <f t="shared" si="14"/>
        <v>1</v>
      </c>
      <c r="G191" s="112">
        <f t="shared" si="14"/>
        <v>6</v>
      </c>
      <c r="H191" s="111">
        <f t="shared" si="15"/>
        <v>0</v>
      </c>
      <c r="I191" s="112">
        <f t="shared" si="15"/>
        <v>0</v>
      </c>
    </row>
    <row r="192" spans="1:9" ht="13.5">
      <c r="A192" s="72">
        <v>22</v>
      </c>
      <c r="B192" s="109" t="s">
        <v>1113</v>
      </c>
      <c r="C192" s="864" t="s">
        <v>1</v>
      </c>
      <c r="D192" s="111">
        <v>30</v>
      </c>
      <c r="E192" s="112">
        <v>22.5</v>
      </c>
      <c r="F192" s="111">
        <f t="shared" si="14"/>
        <v>30</v>
      </c>
      <c r="G192" s="112">
        <f t="shared" si="14"/>
        <v>22.5</v>
      </c>
      <c r="H192" s="111">
        <f t="shared" si="15"/>
        <v>0</v>
      </c>
      <c r="I192" s="112">
        <f t="shared" si="15"/>
        <v>0</v>
      </c>
    </row>
    <row r="193" spans="1:9" ht="13.5">
      <c r="A193" s="72">
        <v>23</v>
      </c>
      <c r="B193" s="109" t="s">
        <v>1114</v>
      </c>
      <c r="C193" s="864" t="s">
        <v>1</v>
      </c>
      <c r="D193" s="111">
        <v>40</v>
      </c>
      <c r="E193" s="112">
        <v>12</v>
      </c>
      <c r="F193" s="111">
        <f t="shared" si="14"/>
        <v>40</v>
      </c>
      <c r="G193" s="112">
        <f t="shared" si="14"/>
        <v>12</v>
      </c>
      <c r="H193" s="111">
        <f t="shared" si="15"/>
        <v>0</v>
      </c>
      <c r="I193" s="112">
        <f t="shared" si="15"/>
        <v>0</v>
      </c>
    </row>
    <row r="194" spans="1:9" ht="13.5">
      <c r="A194" s="72">
        <v>24</v>
      </c>
      <c r="B194" s="109" t="s">
        <v>1115</v>
      </c>
      <c r="C194" s="864" t="s">
        <v>1</v>
      </c>
      <c r="D194" s="111">
        <v>67</v>
      </c>
      <c r="E194" s="112">
        <v>30.15</v>
      </c>
      <c r="F194" s="111">
        <f t="shared" si="14"/>
        <v>67</v>
      </c>
      <c r="G194" s="112">
        <f t="shared" si="14"/>
        <v>30.15</v>
      </c>
      <c r="H194" s="111">
        <f t="shared" si="15"/>
        <v>0</v>
      </c>
      <c r="I194" s="112">
        <f t="shared" si="15"/>
        <v>0</v>
      </c>
    </row>
    <row r="195" spans="1:9" ht="13.5">
      <c r="A195" s="72">
        <v>25</v>
      </c>
      <c r="B195" s="109" t="s">
        <v>1116</v>
      </c>
      <c r="C195" s="864" t="s">
        <v>1</v>
      </c>
      <c r="D195" s="111">
        <v>227</v>
      </c>
      <c r="E195" s="112">
        <v>83.99</v>
      </c>
      <c r="F195" s="111">
        <f t="shared" si="14"/>
        <v>227</v>
      </c>
      <c r="G195" s="112">
        <f t="shared" si="14"/>
        <v>83.99</v>
      </c>
      <c r="H195" s="111">
        <f t="shared" si="15"/>
        <v>0</v>
      </c>
      <c r="I195" s="112">
        <f t="shared" si="15"/>
        <v>0</v>
      </c>
    </row>
    <row r="196" spans="1:9" ht="13.5">
      <c r="A196" s="72">
        <v>26</v>
      </c>
      <c r="B196" s="109" t="s">
        <v>1117</v>
      </c>
      <c r="C196" s="864" t="s">
        <v>1</v>
      </c>
      <c r="D196" s="111"/>
      <c r="E196" s="112"/>
      <c r="F196" s="111">
        <v>10</v>
      </c>
      <c r="G196" s="112">
        <f>F196*4</f>
        <v>40</v>
      </c>
      <c r="H196" s="111">
        <f aca="true" t="shared" si="16" ref="H196:I200">F196-D196</f>
        <v>10</v>
      </c>
      <c r="I196" s="112">
        <f t="shared" si="16"/>
        <v>40</v>
      </c>
    </row>
    <row r="197" spans="1:9" ht="13.5">
      <c r="A197" s="72">
        <v>27</v>
      </c>
      <c r="B197" s="109" t="s">
        <v>1118</v>
      </c>
      <c r="C197" s="864" t="s">
        <v>1</v>
      </c>
      <c r="D197" s="111"/>
      <c r="E197" s="112"/>
      <c r="F197" s="111">
        <v>1</v>
      </c>
      <c r="G197" s="112">
        <v>25</v>
      </c>
      <c r="H197" s="111">
        <f t="shared" si="16"/>
        <v>1</v>
      </c>
      <c r="I197" s="112">
        <f t="shared" si="16"/>
        <v>25</v>
      </c>
    </row>
    <row r="198" spans="1:9" ht="13.5">
      <c r="A198" s="72">
        <v>28</v>
      </c>
      <c r="B198" s="109" t="s">
        <v>1119</v>
      </c>
      <c r="C198" s="864" t="s">
        <v>1</v>
      </c>
      <c r="D198" s="111"/>
      <c r="E198" s="112"/>
      <c r="F198" s="111">
        <v>1</v>
      </c>
      <c r="G198" s="112">
        <v>65</v>
      </c>
      <c r="H198" s="111">
        <f t="shared" si="16"/>
        <v>1</v>
      </c>
      <c r="I198" s="112">
        <f t="shared" si="16"/>
        <v>65</v>
      </c>
    </row>
    <row r="199" spans="1:9" ht="13.5">
      <c r="A199" s="72">
        <v>29</v>
      </c>
      <c r="B199" s="109" t="s">
        <v>1120</v>
      </c>
      <c r="C199" s="864" t="s">
        <v>1</v>
      </c>
      <c r="D199" s="111"/>
      <c r="E199" s="112"/>
      <c r="F199" s="111">
        <v>1</v>
      </c>
      <c r="G199" s="112">
        <v>75</v>
      </c>
      <c r="H199" s="111">
        <f t="shared" si="16"/>
        <v>1</v>
      </c>
      <c r="I199" s="112">
        <f t="shared" si="16"/>
        <v>75</v>
      </c>
    </row>
    <row r="200" spans="1:9" ht="13.5">
      <c r="A200" s="72">
        <v>30</v>
      </c>
      <c r="B200" s="109" t="s">
        <v>1121</v>
      </c>
      <c r="C200" s="864" t="s">
        <v>1</v>
      </c>
      <c r="D200" s="111"/>
      <c r="E200" s="112"/>
      <c r="F200" s="111">
        <v>1</v>
      </c>
      <c r="G200" s="112">
        <v>50</v>
      </c>
      <c r="H200" s="111">
        <f t="shared" si="16"/>
        <v>1</v>
      </c>
      <c r="I200" s="112">
        <f t="shared" si="16"/>
        <v>50</v>
      </c>
    </row>
    <row r="201" spans="1:9" ht="13.5">
      <c r="A201" s="600"/>
      <c r="B201" s="191"/>
      <c r="C201" s="850"/>
      <c r="D201" s="191"/>
      <c r="E201" s="191"/>
      <c r="F201" s="191"/>
      <c r="G201" s="191"/>
      <c r="H201" s="191"/>
      <c r="I201" s="191"/>
    </row>
    <row r="202" spans="1:9" ht="13.5">
      <c r="A202" s="600"/>
      <c r="B202" s="191"/>
      <c r="C202" s="850"/>
      <c r="D202" s="191"/>
      <c r="E202" s="191"/>
      <c r="F202" s="191"/>
      <c r="G202" s="191"/>
      <c r="H202" s="191"/>
      <c r="I202" s="191"/>
    </row>
    <row r="203" spans="1:9" ht="13.5">
      <c r="A203" s="600"/>
      <c r="B203" s="191"/>
      <c r="C203" s="850"/>
      <c r="D203" s="191"/>
      <c r="E203" s="191"/>
      <c r="F203" s="191"/>
      <c r="G203" s="191"/>
      <c r="H203" s="191"/>
      <c r="I203" s="191"/>
    </row>
    <row r="204" spans="1:9" ht="13.5">
      <c r="A204" s="600"/>
      <c r="B204" s="191"/>
      <c r="C204" s="850"/>
      <c r="D204" s="191"/>
      <c r="E204" s="191"/>
      <c r="F204" s="191"/>
      <c r="G204" s="191"/>
      <c r="H204" s="191"/>
      <c r="I204" s="191"/>
    </row>
    <row r="205" spans="1:9" ht="13.5">
      <c r="A205" s="600"/>
      <c r="B205" s="191"/>
      <c r="C205" s="850"/>
      <c r="D205" s="191"/>
      <c r="E205" s="191"/>
      <c r="F205" s="191"/>
      <c r="G205" s="191"/>
      <c r="H205" s="191"/>
      <c r="I205" s="191"/>
    </row>
    <row r="206" ht="12.75" customHeight="1"/>
    <row r="211" spans="1:6" ht="26.25" customHeight="1">
      <c r="A211" s="219" t="s">
        <v>6</v>
      </c>
      <c r="B211" s="903" t="s">
        <v>407</v>
      </c>
      <c r="C211" s="903"/>
      <c r="D211" s="903"/>
      <c r="E211" s="903"/>
      <c r="F211" s="565"/>
    </row>
  </sheetData>
  <sheetProtection/>
  <mergeCells count="6">
    <mergeCell ref="G2:I2"/>
    <mergeCell ref="B211:E211"/>
    <mergeCell ref="D7:E7"/>
    <mergeCell ref="F7:G7"/>
    <mergeCell ref="H7:I7"/>
    <mergeCell ref="C3:I3"/>
  </mergeCells>
  <printOptions/>
  <pageMargins left="0.75" right="0.25" top="0.23" bottom="0.29" header="0.21" footer="0.19"/>
  <pageSetup horizontalDpi="600" verticalDpi="600" orientation="landscape" paperSize="9" scale="80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I28"/>
  <sheetViews>
    <sheetView zoomScalePageLayoutView="0" workbookViewId="0" topLeftCell="A16">
      <selection activeCell="D32" sqref="D32"/>
    </sheetView>
  </sheetViews>
  <sheetFormatPr defaultColWidth="9.140625" defaultRowHeight="12.75"/>
  <cols>
    <col min="1" max="1" width="5.7109375" style="286" customWidth="1"/>
    <col min="2" max="2" width="34.140625" style="5" customWidth="1"/>
    <col min="3" max="3" width="11.140625" style="42" customWidth="1"/>
    <col min="4" max="4" width="11.28125" style="42" customWidth="1"/>
    <col min="5" max="5" width="9.140625" style="42" customWidth="1"/>
    <col min="6" max="6" width="10.8515625" style="42" customWidth="1"/>
    <col min="7" max="7" width="11.421875" style="42" bestFit="1" customWidth="1"/>
    <col min="8" max="8" width="17.140625" style="371" bestFit="1" customWidth="1"/>
    <col min="9" max="9" width="12.8515625" style="42" customWidth="1"/>
    <col min="10" max="10" width="13.7109375" style="42" customWidth="1"/>
    <col min="11" max="11" width="11.57421875" style="42" customWidth="1"/>
    <col min="12" max="12" width="10.421875" style="42" customWidth="1"/>
    <col min="13" max="13" width="9.140625" style="42" customWidth="1"/>
    <col min="14" max="14" width="11.28125" style="42" bestFit="1" customWidth="1"/>
    <col min="15" max="15" width="17.140625" style="371" bestFit="1" customWidth="1"/>
    <col min="16" max="16" width="10.7109375" style="42" customWidth="1"/>
    <col min="17" max="17" width="11.140625" style="42" bestFit="1" customWidth="1"/>
    <col min="18" max="19" width="10.7109375" style="42" customWidth="1"/>
    <col min="20" max="20" width="11.8515625" style="42" bestFit="1" customWidth="1"/>
    <col min="21" max="21" width="13.57421875" style="371" bestFit="1" customWidth="1"/>
    <col min="22" max="22" width="12.8515625" style="42" customWidth="1"/>
    <col min="23" max="25" width="11.140625" style="42" customWidth="1"/>
    <col min="26" max="26" width="11.421875" style="42" bestFit="1" customWidth="1"/>
    <col min="27" max="27" width="17.140625" style="371" bestFit="1" customWidth="1"/>
    <col min="28" max="28" width="11.140625" style="42" customWidth="1"/>
    <col min="29" max="29" width="12.421875" style="42" bestFit="1" customWidth="1"/>
    <col min="30" max="31" width="11.140625" style="42" customWidth="1"/>
    <col min="32" max="32" width="11.421875" style="42" bestFit="1" customWidth="1"/>
    <col min="33" max="33" width="17.140625" style="371" bestFit="1" customWidth="1"/>
    <col min="34" max="34" width="10.140625" style="42" bestFit="1" customWidth="1"/>
    <col min="35" max="35" width="11.28125" style="42" bestFit="1" customWidth="1"/>
    <col min="36" max="16384" width="9.140625" style="42" customWidth="1"/>
  </cols>
  <sheetData>
    <row r="1" spans="1:33" s="5" customFormat="1" ht="24.75" customHeight="1">
      <c r="A1" s="32"/>
      <c r="B1" s="479" t="s">
        <v>354</v>
      </c>
      <c r="C1" s="33"/>
      <c r="D1" s="33"/>
      <c r="E1" s="33"/>
      <c r="F1" s="33"/>
      <c r="G1" s="33"/>
      <c r="H1" s="257"/>
      <c r="I1" s="32"/>
      <c r="J1" s="32"/>
      <c r="K1" s="137" t="s">
        <v>537</v>
      </c>
      <c r="L1" s="33"/>
      <c r="M1" s="323"/>
      <c r="N1" s="190"/>
      <c r="O1" s="257"/>
      <c r="P1" s="23"/>
      <c r="Q1" s="23"/>
      <c r="R1" s="23"/>
      <c r="S1" s="23"/>
      <c r="T1" s="190"/>
      <c r="U1" s="257"/>
      <c r="V1" s="190"/>
      <c r="W1" s="190"/>
      <c r="X1" s="190"/>
      <c r="Y1" s="190"/>
      <c r="Z1" s="190"/>
      <c r="AA1" s="257"/>
      <c r="AB1" s="190"/>
      <c r="AC1" s="190"/>
      <c r="AD1" s="190"/>
      <c r="AE1" s="190"/>
      <c r="AF1" s="190"/>
      <c r="AG1" s="257"/>
    </row>
    <row r="2" spans="1:33" s="5" customFormat="1" ht="23.25" customHeight="1" thickBot="1">
      <c r="A2" s="32"/>
      <c r="B2" s="925" t="s">
        <v>1145</v>
      </c>
      <c r="C2" s="925"/>
      <c r="D2" s="925"/>
      <c r="E2" s="187"/>
      <c r="F2" s="187"/>
      <c r="G2" s="187"/>
      <c r="H2" s="369"/>
      <c r="K2" s="422" t="s">
        <v>27</v>
      </c>
      <c r="L2" s="152"/>
      <c r="M2" s="152"/>
      <c r="N2" s="152"/>
      <c r="O2" s="369"/>
      <c r="P2" s="152"/>
      <c r="Q2" s="152"/>
      <c r="R2" s="152"/>
      <c r="S2" s="152"/>
      <c r="T2" s="152"/>
      <c r="U2" s="369"/>
      <c r="V2" s="9"/>
      <c r="W2" s="9"/>
      <c r="X2" s="9"/>
      <c r="Y2" s="9"/>
      <c r="Z2" s="9"/>
      <c r="AA2" s="369"/>
      <c r="AB2" s="9"/>
      <c r="AC2" s="9"/>
      <c r="AD2" s="9"/>
      <c r="AE2" s="9"/>
      <c r="AF2" s="9"/>
      <c r="AG2" s="369"/>
    </row>
    <row r="3" spans="1:33" s="191" customFormat="1" ht="14.25">
      <c r="A3" s="32"/>
      <c r="B3" s="423" t="s">
        <v>28</v>
      </c>
      <c r="C3" s="138"/>
      <c r="D3" s="138"/>
      <c r="E3" s="33"/>
      <c r="F3" s="138"/>
      <c r="G3" s="33"/>
      <c r="H3" s="257"/>
      <c r="I3" s="33"/>
      <c r="J3" s="33"/>
      <c r="K3" s="190"/>
      <c r="L3" s="36"/>
      <c r="M3" s="33"/>
      <c r="N3" s="33"/>
      <c r="O3" s="257"/>
      <c r="P3" s="190"/>
      <c r="Q3" s="190"/>
      <c r="R3" s="190"/>
      <c r="S3" s="190"/>
      <c r="T3" s="36"/>
      <c r="U3" s="257"/>
      <c r="V3" s="138"/>
      <c r="W3" s="138"/>
      <c r="X3" s="138"/>
      <c r="Y3" s="138"/>
      <c r="Z3" s="33"/>
      <c r="AA3" s="257"/>
      <c r="AB3" s="138"/>
      <c r="AC3" s="138"/>
      <c r="AD3" s="138"/>
      <c r="AE3" s="138"/>
      <c r="AF3" s="33"/>
      <c r="AG3" s="257"/>
    </row>
    <row r="4" spans="1:33" s="191" customFormat="1" ht="14.25">
      <c r="A4" s="32"/>
      <c r="B4" s="189"/>
      <c r="C4" s="138"/>
      <c r="D4" s="138"/>
      <c r="E4" s="33"/>
      <c r="F4" s="138"/>
      <c r="G4" s="189"/>
      <c r="H4" s="370"/>
      <c r="I4" s="33"/>
      <c r="J4" s="33"/>
      <c r="K4" s="33"/>
      <c r="L4" s="43" t="s">
        <v>216</v>
      </c>
      <c r="M4" s="33"/>
      <c r="N4" s="33"/>
      <c r="O4" s="370"/>
      <c r="P4" s="36"/>
      <c r="Q4" s="36"/>
      <c r="R4" s="36"/>
      <c r="S4" s="36"/>
      <c r="T4" s="190"/>
      <c r="U4" s="370"/>
      <c r="V4" s="138"/>
      <c r="W4" s="138"/>
      <c r="X4" s="138"/>
      <c r="Y4" s="138"/>
      <c r="Z4" s="189"/>
      <c r="AA4" s="370"/>
      <c r="AB4" s="138"/>
      <c r="AC4" s="138"/>
      <c r="AD4" s="138"/>
      <c r="AE4" s="138"/>
      <c r="AF4" s="189"/>
      <c r="AG4" s="370"/>
    </row>
    <row r="5" spans="1:33" s="372" customFormat="1" ht="21.75" customHeight="1">
      <c r="A5" s="282"/>
      <c r="B5" s="373"/>
      <c r="C5" s="263" t="s">
        <v>452</v>
      </c>
      <c r="D5" s="264"/>
      <c r="E5" s="264"/>
      <c r="F5" s="264"/>
      <c r="G5" s="264"/>
      <c r="H5" s="470"/>
      <c r="I5" s="977" t="s">
        <v>451</v>
      </c>
      <c r="J5" s="975"/>
      <c r="K5" s="975"/>
      <c r="L5" s="975"/>
      <c r="M5" s="975"/>
      <c r="N5" s="976"/>
      <c r="O5" s="470"/>
      <c r="P5" s="476" t="s">
        <v>217</v>
      </c>
      <c r="Q5" s="477"/>
      <c r="R5" s="477"/>
      <c r="S5" s="477"/>
      <c r="T5" s="478"/>
      <c r="U5" s="470"/>
      <c r="V5" s="476" t="s">
        <v>476</v>
      </c>
      <c r="W5" s="477"/>
      <c r="X5" s="477"/>
      <c r="Y5" s="477"/>
      <c r="Z5" s="478"/>
      <c r="AA5" s="477"/>
      <c r="AB5" s="977" t="s">
        <v>520</v>
      </c>
      <c r="AC5" s="975"/>
      <c r="AD5" s="975"/>
      <c r="AE5" s="975"/>
      <c r="AF5" s="975"/>
      <c r="AG5" s="976"/>
    </row>
    <row r="6" spans="1:33" ht="76.5">
      <c r="A6" s="283"/>
      <c r="B6" s="284"/>
      <c r="C6" s="65" t="s">
        <v>212</v>
      </c>
      <c r="D6" s="65" t="s">
        <v>239</v>
      </c>
      <c r="E6" s="65" t="s">
        <v>247</v>
      </c>
      <c r="F6" s="65" t="s">
        <v>223</v>
      </c>
      <c r="G6" s="65" t="s">
        <v>255</v>
      </c>
      <c r="H6" s="368" t="s">
        <v>304</v>
      </c>
      <c r="I6" s="734" t="s">
        <v>212</v>
      </c>
      <c r="J6" s="66" t="s">
        <v>586</v>
      </c>
      <c r="K6" s="65" t="s">
        <v>239</v>
      </c>
      <c r="L6" s="65" t="s">
        <v>247</v>
      </c>
      <c r="M6" s="65" t="s">
        <v>223</v>
      </c>
      <c r="N6" s="65" t="s">
        <v>255</v>
      </c>
      <c r="O6" s="368" t="s">
        <v>304</v>
      </c>
      <c r="P6" s="66" t="s">
        <v>286</v>
      </c>
      <c r="Q6" s="65" t="s">
        <v>239</v>
      </c>
      <c r="R6" s="65" t="s">
        <v>247</v>
      </c>
      <c r="S6" s="65" t="s">
        <v>223</v>
      </c>
      <c r="T6" s="66" t="s">
        <v>287</v>
      </c>
      <c r="U6" s="368" t="s">
        <v>304</v>
      </c>
      <c r="V6" s="66" t="s">
        <v>212</v>
      </c>
      <c r="W6" s="65" t="s">
        <v>239</v>
      </c>
      <c r="X6" s="65" t="s">
        <v>247</v>
      </c>
      <c r="Y6" s="65" t="s">
        <v>223</v>
      </c>
      <c r="Z6" s="66" t="s">
        <v>255</v>
      </c>
      <c r="AA6" s="368" t="s">
        <v>304</v>
      </c>
      <c r="AB6" s="66" t="s">
        <v>212</v>
      </c>
      <c r="AC6" s="65" t="s">
        <v>239</v>
      </c>
      <c r="AD6" s="65" t="s">
        <v>247</v>
      </c>
      <c r="AE6" s="65" t="s">
        <v>223</v>
      </c>
      <c r="AF6" s="66" t="s">
        <v>255</v>
      </c>
      <c r="AG6" s="368" t="s">
        <v>304</v>
      </c>
    </row>
    <row r="7" spans="1:33" s="16" customFormat="1" ht="12.75">
      <c r="A7" s="66">
        <v>1</v>
      </c>
      <c r="B7" s="66">
        <v>2</v>
      </c>
      <c r="C7" s="66">
        <v>3</v>
      </c>
      <c r="D7" s="66">
        <v>4</v>
      </c>
      <c r="E7" s="66">
        <v>5</v>
      </c>
      <c r="F7" s="66">
        <v>6</v>
      </c>
      <c r="G7" s="66">
        <v>7</v>
      </c>
      <c r="H7" s="66">
        <v>8</v>
      </c>
      <c r="I7" s="66">
        <v>9</v>
      </c>
      <c r="J7" s="66">
        <v>10</v>
      </c>
      <c r="K7" s="66">
        <v>11</v>
      </c>
      <c r="L7" s="66">
        <v>12</v>
      </c>
      <c r="M7" s="66">
        <v>13</v>
      </c>
      <c r="N7" s="66">
        <v>14</v>
      </c>
      <c r="O7" s="66">
        <v>15</v>
      </c>
      <c r="P7" s="66">
        <v>16</v>
      </c>
      <c r="Q7" s="66">
        <v>17</v>
      </c>
      <c r="R7" s="66">
        <v>18</v>
      </c>
      <c r="S7" s="66">
        <v>19</v>
      </c>
      <c r="T7" s="66">
        <v>20</v>
      </c>
      <c r="U7" s="66">
        <v>21</v>
      </c>
      <c r="V7" s="66">
        <v>22</v>
      </c>
      <c r="W7" s="66">
        <v>23</v>
      </c>
      <c r="X7" s="66">
        <v>24</v>
      </c>
      <c r="Y7" s="66">
        <v>25</v>
      </c>
      <c r="Z7" s="66">
        <v>26</v>
      </c>
      <c r="AA7" s="66">
        <v>27</v>
      </c>
      <c r="AB7" s="66">
        <v>28</v>
      </c>
      <c r="AC7" s="66">
        <v>29</v>
      </c>
      <c r="AD7" s="66">
        <v>30</v>
      </c>
      <c r="AE7" s="66">
        <v>31</v>
      </c>
      <c r="AF7" s="66">
        <v>32</v>
      </c>
      <c r="AG7" s="66">
        <v>33</v>
      </c>
    </row>
    <row r="8" spans="1:33" ht="78.75" customHeight="1">
      <c r="A8" s="244">
        <v>1</v>
      </c>
      <c r="B8" s="245" t="s">
        <v>418</v>
      </c>
      <c r="C8" s="232">
        <v>5</v>
      </c>
      <c r="D8" s="232">
        <v>1918060</v>
      </c>
      <c r="E8" s="232"/>
      <c r="F8" s="232"/>
      <c r="G8" s="246">
        <v>1918060</v>
      </c>
      <c r="H8" s="256">
        <v>24934780</v>
      </c>
      <c r="I8" s="232">
        <v>5</v>
      </c>
      <c r="J8" s="232">
        <v>0</v>
      </c>
      <c r="K8" s="232">
        <v>1918060</v>
      </c>
      <c r="L8" s="232"/>
      <c r="M8" s="232"/>
      <c r="N8" s="246">
        <v>1918060</v>
      </c>
      <c r="O8" s="256">
        <v>24934780</v>
      </c>
      <c r="P8" s="246">
        <v>0</v>
      </c>
      <c r="Q8" s="246">
        <v>0</v>
      </c>
      <c r="R8" s="246">
        <v>0</v>
      </c>
      <c r="S8" s="246">
        <v>0</v>
      </c>
      <c r="T8" s="246">
        <v>0</v>
      </c>
      <c r="U8" s="256">
        <v>0</v>
      </c>
      <c r="V8" s="232">
        <v>5</v>
      </c>
      <c r="W8" s="232">
        <v>1918060</v>
      </c>
      <c r="X8" s="232"/>
      <c r="Y8" s="232"/>
      <c r="Z8" s="246">
        <v>1918060</v>
      </c>
      <c r="AA8" s="256">
        <v>24934780</v>
      </c>
      <c r="AB8" s="232">
        <v>5</v>
      </c>
      <c r="AC8" s="232">
        <v>1918060</v>
      </c>
      <c r="AD8" s="232"/>
      <c r="AE8" s="232"/>
      <c r="AF8" s="246">
        <v>1918060</v>
      </c>
      <c r="AG8" s="256">
        <v>24934780</v>
      </c>
    </row>
    <row r="9" spans="1:33" ht="18" customHeight="1">
      <c r="A9" s="244">
        <v>2</v>
      </c>
      <c r="B9" s="245" t="s">
        <v>250</v>
      </c>
      <c r="C9" s="232"/>
      <c r="D9" s="285"/>
      <c r="E9" s="285"/>
      <c r="F9" s="285"/>
      <c r="G9" s="246">
        <v>0</v>
      </c>
      <c r="H9" s="256">
        <v>0</v>
      </c>
      <c r="I9" s="232"/>
      <c r="J9" s="232"/>
      <c r="K9" s="285"/>
      <c r="L9" s="285"/>
      <c r="M9" s="285"/>
      <c r="N9" s="246">
        <v>0</v>
      </c>
      <c r="O9" s="256">
        <v>0</v>
      </c>
      <c r="P9" s="246">
        <v>0</v>
      </c>
      <c r="Q9" s="246">
        <v>0</v>
      </c>
      <c r="R9" s="246">
        <v>0</v>
      </c>
      <c r="S9" s="246">
        <v>0</v>
      </c>
      <c r="T9" s="246">
        <v>0</v>
      </c>
      <c r="U9" s="256">
        <v>0</v>
      </c>
      <c r="V9" s="232"/>
      <c r="W9" s="232"/>
      <c r="X9" s="232"/>
      <c r="Y9" s="232"/>
      <c r="Z9" s="246">
        <v>0</v>
      </c>
      <c r="AA9" s="256">
        <v>0</v>
      </c>
      <c r="AB9" s="232"/>
      <c r="AC9" s="232"/>
      <c r="AD9" s="232"/>
      <c r="AE9" s="232"/>
      <c r="AF9" s="246">
        <v>0</v>
      </c>
      <c r="AG9" s="256">
        <v>0</v>
      </c>
    </row>
    <row r="10" spans="1:33" ht="21" customHeight="1">
      <c r="A10" s="244">
        <v>3</v>
      </c>
      <c r="B10" s="245" t="s">
        <v>257</v>
      </c>
      <c r="C10" s="232"/>
      <c r="D10" s="285"/>
      <c r="E10" s="285"/>
      <c r="F10" s="285"/>
      <c r="G10" s="246">
        <v>0</v>
      </c>
      <c r="H10" s="256">
        <v>0</v>
      </c>
      <c r="I10" s="232"/>
      <c r="J10" s="232"/>
      <c r="K10" s="285"/>
      <c r="L10" s="285"/>
      <c r="M10" s="285"/>
      <c r="N10" s="246">
        <v>0</v>
      </c>
      <c r="O10" s="256">
        <v>0</v>
      </c>
      <c r="P10" s="246">
        <v>0</v>
      </c>
      <c r="Q10" s="246">
        <v>0</v>
      </c>
      <c r="R10" s="246">
        <v>0</v>
      </c>
      <c r="S10" s="246">
        <v>0</v>
      </c>
      <c r="T10" s="246">
        <v>0</v>
      </c>
      <c r="U10" s="256">
        <v>0</v>
      </c>
      <c r="V10" s="232"/>
      <c r="W10" s="232"/>
      <c r="X10" s="232"/>
      <c r="Y10" s="232"/>
      <c r="Z10" s="246">
        <v>0</v>
      </c>
      <c r="AA10" s="256">
        <v>0</v>
      </c>
      <c r="AB10" s="232"/>
      <c r="AC10" s="232"/>
      <c r="AD10" s="232"/>
      <c r="AE10" s="232"/>
      <c r="AF10" s="246">
        <v>0</v>
      </c>
      <c r="AG10" s="256">
        <v>0</v>
      </c>
    </row>
    <row r="11" spans="1:33" ht="27">
      <c r="A11" s="244">
        <v>4</v>
      </c>
      <c r="B11" s="245" t="s">
        <v>585</v>
      </c>
      <c r="C11" s="232"/>
      <c r="D11" s="285"/>
      <c r="E11" s="285"/>
      <c r="F11" s="285"/>
      <c r="G11" s="246">
        <v>0</v>
      </c>
      <c r="H11" s="256">
        <v>0</v>
      </c>
      <c r="I11" s="232"/>
      <c r="J11" s="232"/>
      <c r="K11" s="285"/>
      <c r="L11" s="285"/>
      <c r="M11" s="285"/>
      <c r="N11" s="246">
        <v>0</v>
      </c>
      <c r="O11" s="256">
        <v>0</v>
      </c>
      <c r="P11" s="246">
        <v>0</v>
      </c>
      <c r="Q11" s="246">
        <v>0</v>
      </c>
      <c r="R11" s="246">
        <v>0</v>
      </c>
      <c r="S11" s="246">
        <v>0</v>
      </c>
      <c r="T11" s="246">
        <v>0</v>
      </c>
      <c r="U11" s="256">
        <v>0</v>
      </c>
      <c r="V11" s="232"/>
      <c r="W11" s="232"/>
      <c r="X11" s="232"/>
      <c r="Y11" s="232"/>
      <c r="Z11" s="246">
        <v>0</v>
      </c>
      <c r="AA11" s="256">
        <v>0</v>
      </c>
      <c r="AB11" s="232"/>
      <c r="AC11" s="232"/>
      <c r="AD11" s="232"/>
      <c r="AE11" s="232"/>
      <c r="AF11" s="246">
        <v>0</v>
      </c>
      <c r="AG11" s="256">
        <v>0</v>
      </c>
    </row>
    <row r="12" spans="1:33" ht="49.5" customHeight="1">
      <c r="A12" s="244">
        <v>5</v>
      </c>
      <c r="B12" s="245" t="s">
        <v>529</v>
      </c>
      <c r="C12" s="245"/>
      <c r="D12" s="285"/>
      <c r="E12" s="285"/>
      <c r="F12" s="285"/>
      <c r="G12" s="246">
        <v>0</v>
      </c>
      <c r="H12" s="256">
        <v>0</v>
      </c>
      <c r="I12" s="232"/>
      <c r="J12" s="232"/>
      <c r="K12" s="285"/>
      <c r="L12" s="285"/>
      <c r="M12" s="285"/>
      <c r="N12" s="246">
        <v>0</v>
      </c>
      <c r="O12" s="256">
        <v>0</v>
      </c>
      <c r="P12" s="246">
        <v>0</v>
      </c>
      <c r="Q12" s="246">
        <v>0</v>
      </c>
      <c r="R12" s="246">
        <v>0</v>
      </c>
      <c r="S12" s="246">
        <v>0</v>
      </c>
      <c r="T12" s="246">
        <v>0</v>
      </c>
      <c r="U12" s="256">
        <v>0</v>
      </c>
      <c r="V12" s="232"/>
      <c r="W12" s="232"/>
      <c r="X12" s="232"/>
      <c r="Y12" s="232"/>
      <c r="Z12" s="246">
        <v>0</v>
      </c>
      <c r="AA12" s="256">
        <v>0</v>
      </c>
      <c r="AB12" s="232"/>
      <c r="AC12" s="232"/>
      <c r="AD12" s="232"/>
      <c r="AE12" s="232"/>
      <c r="AF12" s="246">
        <v>0</v>
      </c>
      <c r="AG12" s="256">
        <v>0</v>
      </c>
    </row>
    <row r="13" spans="1:33" ht="28.5" customHeight="1">
      <c r="A13" s="244">
        <v>6</v>
      </c>
      <c r="B13" s="245" t="s">
        <v>353</v>
      </c>
      <c r="C13" s="232">
        <v>254</v>
      </c>
      <c r="D13" s="285">
        <v>63643876.4</v>
      </c>
      <c r="E13" s="285">
        <v>840810</v>
      </c>
      <c r="F13" s="285">
        <v>32000</v>
      </c>
      <c r="G13" s="246">
        <v>64516686.399999976</v>
      </c>
      <c r="H13" s="256">
        <v>838716923.1999997</v>
      </c>
      <c r="I13" s="232">
        <v>254</v>
      </c>
      <c r="J13" s="232">
        <v>41</v>
      </c>
      <c r="K13" s="285">
        <v>62616722.19999999</v>
      </c>
      <c r="L13" s="285">
        <v>831185</v>
      </c>
      <c r="M13" s="285">
        <v>32000</v>
      </c>
      <c r="N13" s="246">
        <v>63479907.19999999</v>
      </c>
      <c r="O13" s="256">
        <v>825238793.5999999</v>
      </c>
      <c r="P13" s="246">
        <v>0</v>
      </c>
      <c r="Q13" s="246">
        <v>1027154.1999999881</v>
      </c>
      <c r="R13" s="246">
        <v>9625</v>
      </c>
      <c r="S13" s="246">
        <v>0</v>
      </c>
      <c r="T13" s="246">
        <v>1036779.1999999881</v>
      </c>
      <c r="U13" s="256">
        <v>13478129.599999785</v>
      </c>
      <c r="V13" s="232">
        <v>254</v>
      </c>
      <c r="W13" s="232">
        <v>64928976.59999996</v>
      </c>
      <c r="X13" s="232">
        <v>841206</v>
      </c>
      <c r="Y13" s="232">
        <v>32000</v>
      </c>
      <c r="Z13" s="246">
        <v>65802182.59999996</v>
      </c>
      <c r="AA13" s="256">
        <v>855428373.7999995</v>
      </c>
      <c r="AB13" s="232">
        <v>254</v>
      </c>
      <c r="AC13" s="232">
        <v>65790780.79999994</v>
      </c>
      <c r="AD13" s="232">
        <v>848711</v>
      </c>
      <c r="AE13" s="232">
        <v>32000</v>
      </c>
      <c r="AF13" s="246">
        <v>66671491.79999994</v>
      </c>
      <c r="AG13" s="256">
        <v>866729393.3999991</v>
      </c>
    </row>
    <row r="14" spans="1:33" ht="20.25" customHeight="1">
      <c r="A14" s="244">
        <v>7</v>
      </c>
      <c r="B14" s="245" t="s">
        <v>235</v>
      </c>
      <c r="C14" s="232"/>
      <c r="D14" s="285"/>
      <c r="E14" s="285"/>
      <c r="F14" s="285"/>
      <c r="G14" s="246">
        <v>0</v>
      </c>
      <c r="H14" s="256">
        <v>0</v>
      </c>
      <c r="I14" s="232"/>
      <c r="J14" s="232"/>
      <c r="K14" s="285"/>
      <c r="L14" s="285"/>
      <c r="M14" s="285"/>
      <c r="N14" s="246">
        <v>0</v>
      </c>
      <c r="O14" s="256">
        <v>0</v>
      </c>
      <c r="P14" s="246">
        <v>0</v>
      </c>
      <c r="Q14" s="246">
        <v>0</v>
      </c>
      <c r="R14" s="246">
        <v>0</v>
      </c>
      <c r="S14" s="246">
        <v>0</v>
      </c>
      <c r="T14" s="246">
        <v>0</v>
      </c>
      <c r="U14" s="256">
        <v>0</v>
      </c>
      <c r="V14" s="232"/>
      <c r="W14" s="232"/>
      <c r="X14" s="232"/>
      <c r="Y14" s="232"/>
      <c r="Z14" s="246">
        <v>0</v>
      </c>
      <c r="AA14" s="256">
        <v>0</v>
      </c>
      <c r="AB14" s="232"/>
      <c r="AC14" s="232"/>
      <c r="AD14" s="232"/>
      <c r="AE14" s="232"/>
      <c r="AF14" s="246">
        <v>0</v>
      </c>
      <c r="AG14" s="256">
        <v>0</v>
      </c>
    </row>
    <row r="15" spans="1:33" ht="20.25" customHeight="1">
      <c r="A15" s="244">
        <v>8</v>
      </c>
      <c r="B15" s="245" t="s">
        <v>266</v>
      </c>
      <c r="C15" s="232"/>
      <c r="D15" s="285"/>
      <c r="E15" s="285"/>
      <c r="F15" s="285"/>
      <c r="G15" s="246">
        <v>0</v>
      </c>
      <c r="H15" s="256">
        <v>0</v>
      </c>
      <c r="I15" s="232"/>
      <c r="J15" s="232"/>
      <c r="K15" s="285"/>
      <c r="L15" s="285"/>
      <c r="M15" s="285"/>
      <c r="N15" s="246">
        <v>0</v>
      </c>
      <c r="O15" s="256">
        <v>0</v>
      </c>
      <c r="P15" s="246">
        <v>0</v>
      </c>
      <c r="Q15" s="246">
        <v>0</v>
      </c>
      <c r="R15" s="246">
        <v>0</v>
      </c>
      <c r="S15" s="246">
        <v>0</v>
      </c>
      <c r="T15" s="246">
        <v>0</v>
      </c>
      <c r="U15" s="256">
        <v>0</v>
      </c>
      <c r="V15" s="232"/>
      <c r="W15" s="232"/>
      <c r="X15" s="232"/>
      <c r="Y15" s="232"/>
      <c r="Z15" s="246">
        <v>0</v>
      </c>
      <c r="AA15" s="256">
        <v>0</v>
      </c>
      <c r="AB15" s="232"/>
      <c r="AC15" s="232"/>
      <c r="AD15" s="232"/>
      <c r="AE15" s="232"/>
      <c r="AF15" s="246">
        <v>0</v>
      </c>
      <c r="AG15" s="256">
        <v>0</v>
      </c>
    </row>
    <row r="16" spans="1:33" ht="20.25" customHeight="1">
      <c r="A16" s="244">
        <v>9</v>
      </c>
      <c r="B16" s="245" t="s">
        <v>267</v>
      </c>
      <c r="C16" s="232"/>
      <c r="D16" s="285"/>
      <c r="E16" s="285"/>
      <c r="F16" s="285"/>
      <c r="G16" s="246">
        <v>0</v>
      </c>
      <c r="H16" s="256">
        <v>0</v>
      </c>
      <c r="I16" s="232"/>
      <c r="J16" s="232"/>
      <c r="K16" s="285"/>
      <c r="L16" s="285"/>
      <c r="M16" s="285"/>
      <c r="N16" s="246">
        <v>0</v>
      </c>
      <c r="O16" s="256">
        <v>0</v>
      </c>
      <c r="P16" s="246">
        <v>0</v>
      </c>
      <c r="Q16" s="246">
        <v>0</v>
      </c>
      <c r="R16" s="246">
        <v>0</v>
      </c>
      <c r="S16" s="246">
        <v>0</v>
      </c>
      <c r="T16" s="246">
        <v>0</v>
      </c>
      <c r="U16" s="256">
        <v>0</v>
      </c>
      <c r="V16" s="232"/>
      <c r="W16" s="232"/>
      <c r="X16" s="232"/>
      <c r="Y16" s="232"/>
      <c r="Z16" s="246">
        <v>0</v>
      </c>
      <c r="AA16" s="256">
        <v>0</v>
      </c>
      <c r="AB16" s="232"/>
      <c r="AC16" s="232"/>
      <c r="AD16" s="232"/>
      <c r="AE16" s="232"/>
      <c r="AF16" s="246">
        <v>0</v>
      </c>
      <c r="AG16" s="256">
        <v>0</v>
      </c>
    </row>
    <row r="17" spans="1:33" ht="20.25" customHeight="1">
      <c r="A17" s="244">
        <v>10</v>
      </c>
      <c r="B17" s="245" t="s">
        <v>268</v>
      </c>
      <c r="C17" s="232"/>
      <c r="D17" s="285"/>
      <c r="E17" s="285"/>
      <c r="F17" s="285"/>
      <c r="G17" s="246">
        <v>0</v>
      </c>
      <c r="H17" s="256">
        <v>0</v>
      </c>
      <c r="I17" s="232"/>
      <c r="J17" s="232"/>
      <c r="K17" s="285"/>
      <c r="L17" s="285"/>
      <c r="M17" s="285"/>
      <c r="N17" s="246">
        <v>0</v>
      </c>
      <c r="O17" s="256">
        <v>0</v>
      </c>
      <c r="P17" s="246">
        <v>0</v>
      </c>
      <c r="Q17" s="246">
        <v>0</v>
      </c>
      <c r="R17" s="246">
        <v>0</v>
      </c>
      <c r="S17" s="246">
        <v>0</v>
      </c>
      <c r="T17" s="246">
        <v>0</v>
      </c>
      <c r="U17" s="256">
        <v>0</v>
      </c>
      <c r="V17" s="232"/>
      <c r="W17" s="232"/>
      <c r="X17" s="232"/>
      <c r="Y17" s="232"/>
      <c r="Z17" s="246">
        <v>0</v>
      </c>
      <c r="AA17" s="256">
        <v>0</v>
      </c>
      <c r="AB17" s="232"/>
      <c r="AC17" s="232"/>
      <c r="AD17" s="232"/>
      <c r="AE17" s="232"/>
      <c r="AF17" s="246">
        <v>0</v>
      </c>
      <c r="AG17" s="256">
        <v>0</v>
      </c>
    </row>
    <row r="18" spans="1:33" ht="40.5">
      <c r="A18" s="244">
        <v>11</v>
      </c>
      <c r="B18" s="245" t="s">
        <v>431</v>
      </c>
      <c r="C18" s="232">
        <v>12</v>
      </c>
      <c r="D18" s="285">
        <v>3604630</v>
      </c>
      <c r="E18" s="285"/>
      <c r="F18" s="285"/>
      <c r="G18" s="246">
        <v>3604630</v>
      </c>
      <c r="H18" s="256">
        <v>46860190</v>
      </c>
      <c r="I18" s="232">
        <v>12</v>
      </c>
      <c r="J18" s="232">
        <v>0</v>
      </c>
      <c r="K18" s="285">
        <v>3604630</v>
      </c>
      <c r="L18" s="285"/>
      <c r="M18" s="285"/>
      <c r="N18" s="246">
        <v>3604630</v>
      </c>
      <c r="O18" s="256">
        <v>46860190</v>
      </c>
      <c r="P18" s="246">
        <v>0</v>
      </c>
      <c r="Q18" s="246">
        <v>0</v>
      </c>
      <c r="R18" s="246">
        <v>0</v>
      </c>
      <c r="S18" s="246">
        <v>0</v>
      </c>
      <c r="T18" s="246">
        <v>0</v>
      </c>
      <c r="U18" s="256">
        <v>0</v>
      </c>
      <c r="V18" s="232">
        <v>12</v>
      </c>
      <c r="W18" s="232">
        <v>3604630</v>
      </c>
      <c r="X18" s="232"/>
      <c r="Y18" s="232"/>
      <c r="Z18" s="246">
        <v>3604630</v>
      </c>
      <c r="AA18" s="256">
        <v>46860190</v>
      </c>
      <c r="AB18" s="232">
        <v>12</v>
      </c>
      <c r="AC18" s="232">
        <v>3604630</v>
      </c>
      <c r="AD18" s="232"/>
      <c r="AE18" s="232"/>
      <c r="AF18" s="246">
        <v>3604630</v>
      </c>
      <c r="AG18" s="256">
        <v>46860190</v>
      </c>
    </row>
    <row r="19" spans="1:33" ht="54">
      <c r="A19" s="244">
        <v>12</v>
      </c>
      <c r="B19" s="245" t="s">
        <v>421</v>
      </c>
      <c r="C19" s="232">
        <v>16</v>
      </c>
      <c r="D19" s="285">
        <v>3130501</v>
      </c>
      <c r="E19" s="285">
        <v>18850</v>
      </c>
      <c r="F19" s="285"/>
      <c r="G19" s="246">
        <v>3149351</v>
      </c>
      <c r="H19" s="256">
        <v>37792212</v>
      </c>
      <c r="I19" s="232">
        <v>16</v>
      </c>
      <c r="J19" s="232">
        <v>1</v>
      </c>
      <c r="K19" s="285">
        <v>3130501</v>
      </c>
      <c r="L19" s="285">
        <v>18850</v>
      </c>
      <c r="M19" s="285"/>
      <c r="N19" s="246">
        <v>3149351</v>
      </c>
      <c r="O19" s="256">
        <v>37792212</v>
      </c>
      <c r="P19" s="246">
        <v>0</v>
      </c>
      <c r="Q19" s="246">
        <v>0</v>
      </c>
      <c r="R19" s="246">
        <v>0</v>
      </c>
      <c r="S19" s="246">
        <v>0</v>
      </c>
      <c r="T19" s="246">
        <v>0</v>
      </c>
      <c r="U19" s="256">
        <v>0</v>
      </c>
      <c r="V19" s="232">
        <v>16</v>
      </c>
      <c r="W19" s="232">
        <v>3130501</v>
      </c>
      <c r="X19" s="232">
        <v>18850</v>
      </c>
      <c r="Y19" s="232"/>
      <c r="Z19" s="246">
        <v>3149351</v>
      </c>
      <c r="AA19" s="256">
        <v>37792212</v>
      </c>
      <c r="AB19" s="232">
        <v>16</v>
      </c>
      <c r="AC19" s="232">
        <v>3130501</v>
      </c>
      <c r="AD19" s="232">
        <v>18850</v>
      </c>
      <c r="AE19" s="232"/>
      <c r="AF19" s="246">
        <v>3149351</v>
      </c>
      <c r="AG19" s="256">
        <v>37792212</v>
      </c>
    </row>
    <row r="20" spans="1:33" ht="38.25" customHeight="1">
      <c r="A20" s="244"/>
      <c r="B20" s="30" t="s">
        <v>229</v>
      </c>
      <c r="C20" s="246">
        <v>287</v>
      </c>
      <c r="D20" s="246">
        <v>72297067.39999998</v>
      </c>
      <c r="E20" s="246">
        <v>859660</v>
      </c>
      <c r="F20" s="246">
        <v>32000</v>
      </c>
      <c r="G20" s="246">
        <v>73188727.39999998</v>
      </c>
      <c r="H20" s="256">
        <v>948304105.1999997</v>
      </c>
      <c r="I20" s="246">
        <v>287</v>
      </c>
      <c r="J20" s="246">
        <v>42</v>
      </c>
      <c r="K20" s="246">
        <v>71269913.19999999</v>
      </c>
      <c r="L20" s="246">
        <v>850035</v>
      </c>
      <c r="M20" s="246">
        <v>32000</v>
      </c>
      <c r="N20" s="246">
        <v>72151948.19999999</v>
      </c>
      <c r="O20" s="256">
        <v>934825975.5999999</v>
      </c>
      <c r="P20" s="246">
        <v>0</v>
      </c>
      <c r="Q20" s="246">
        <v>1027154.1999999881</v>
      </c>
      <c r="R20" s="246">
        <v>9625</v>
      </c>
      <c r="S20" s="246">
        <v>0</v>
      </c>
      <c r="T20" s="246">
        <v>1036779.1999999881</v>
      </c>
      <c r="U20" s="256">
        <v>13478129.599999785</v>
      </c>
      <c r="V20" s="246">
        <v>287</v>
      </c>
      <c r="W20" s="246">
        <v>73582167.59999996</v>
      </c>
      <c r="X20" s="246">
        <v>860056</v>
      </c>
      <c r="Y20" s="246">
        <v>32000</v>
      </c>
      <c r="Z20" s="246">
        <v>74474223.59999996</v>
      </c>
      <c r="AA20" s="256">
        <v>965015555.7999995</v>
      </c>
      <c r="AB20" s="246">
        <v>287</v>
      </c>
      <c r="AC20" s="246">
        <v>74443971.79999994</v>
      </c>
      <c r="AD20" s="246">
        <v>867561</v>
      </c>
      <c r="AE20" s="246">
        <v>32000</v>
      </c>
      <c r="AF20" s="246">
        <v>75343532.79999994</v>
      </c>
      <c r="AG20" s="256">
        <v>976316575.3999991</v>
      </c>
    </row>
    <row r="21" spans="2:33" ht="41.25" customHeight="1">
      <c r="B21" s="730"/>
      <c r="C21" s="5"/>
      <c r="H21" s="731"/>
      <c r="I21" s="732"/>
      <c r="J21" s="732"/>
      <c r="K21" s="733"/>
      <c r="L21" s="733"/>
      <c r="M21" s="733"/>
      <c r="N21" s="733"/>
      <c r="O21" s="731"/>
      <c r="P21" s="733"/>
      <c r="Q21" s="733"/>
      <c r="R21" s="733"/>
      <c r="S21" s="733"/>
      <c r="T21" s="733"/>
      <c r="U21" s="731"/>
      <c r="V21" s="732"/>
      <c r="W21" s="732"/>
      <c r="X21" s="732"/>
      <c r="Y21" s="732"/>
      <c r="Z21" s="733"/>
      <c r="AA21" s="731"/>
      <c r="AB21" s="732"/>
      <c r="AC21" s="732"/>
      <c r="AD21" s="732"/>
      <c r="AE21" s="732"/>
      <c r="AF21" s="733"/>
      <c r="AG21" s="731"/>
    </row>
    <row r="22" spans="2:34" ht="20.25" customHeight="1">
      <c r="B22" s="730"/>
      <c r="H22" s="731"/>
      <c r="I22" s="743"/>
      <c r="J22" s="733"/>
      <c r="K22" s="733"/>
      <c r="L22" s="733"/>
      <c r="M22" s="733"/>
      <c r="N22" s="733"/>
      <c r="O22" s="731"/>
      <c r="P22" s="733"/>
      <c r="Q22" s="733"/>
      <c r="R22" s="733"/>
      <c r="S22" s="733"/>
      <c r="T22" s="733"/>
      <c r="U22" s="731"/>
      <c r="V22" s="733"/>
      <c r="W22" s="733"/>
      <c r="X22" s="733"/>
      <c r="Y22" s="733"/>
      <c r="Z22" s="733">
        <v>4113</v>
      </c>
      <c r="AA22" s="731">
        <f>AA13*10%</f>
        <v>85542837.37999995</v>
      </c>
      <c r="AB22" s="733">
        <v>85542.8</v>
      </c>
      <c r="AC22" s="733"/>
      <c r="AD22" s="733"/>
      <c r="AE22" s="733"/>
      <c r="AF22" s="733">
        <v>4113</v>
      </c>
      <c r="AG22" s="731">
        <f>AG13*10%</f>
        <v>86672939.33999991</v>
      </c>
      <c r="AH22" s="42">
        <v>86672.9</v>
      </c>
    </row>
    <row r="23" spans="9:35" ht="16.5">
      <c r="I23" s="743"/>
      <c r="Z23" s="42">
        <v>4112</v>
      </c>
      <c r="AA23" s="371">
        <f>AA20*30%</f>
        <v>289504666.73999983</v>
      </c>
      <c r="AB23" s="42">
        <v>289504.7</v>
      </c>
      <c r="AC23" s="42">
        <f>AA23-AA22</f>
        <v>203961829.3599999</v>
      </c>
      <c r="AF23" s="42">
        <v>4112</v>
      </c>
      <c r="AG23" s="371">
        <f>AG20*30%</f>
        <v>292894972.6199997</v>
      </c>
      <c r="AH23" s="744">
        <v>292895</v>
      </c>
      <c r="AI23" s="42">
        <f>AG23-AG22</f>
        <v>206222033.2799998</v>
      </c>
    </row>
    <row r="26" spans="8:33" ht="14.25">
      <c r="H26" s="742"/>
      <c r="W26" s="42" t="s">
        <v>613</v>
      </c>
      <c r="Z26" s="42">
        <v>396000</v>
      </c>
      <c r="AA26" s="742">
        <f>AA20+Z26</f>
        <v>965411555.7999995</v>
      </c>
      <c r="AC26" s="42" t="s">
        <v>614</v>
      </c>
      <c r="AF26" s="42">
        <v>360000</v>
      </c>
      <c r="AG26" s="742">
        <f>AG20+AF26</f>
        <v>976676575.3999991</v>
      </c>
    </row>
    <row r="27" spans="27:33" ht="14.25">
      <c r="AA27" s="371">
        <f>(AA22+AC23)/6</f>
        <v>48250777.78999997</v>
      </c>
      <c r="AG27" s="371">
        <f>(AG22+AI23)/6</f>
        <v>48815828.76999995</v>
      </c>
    </row>
    <row r="28" spans="8:34" ht="14.25">
      <c r="H28" s="742"/>
      <c r="I28" s="744"/>
      <c r="Z28" s="42">
        <v>4111</v>
      </c>
      <c r="AA28" s="742">
        <f>AA26+AA27</f>
        <v>1013662333.5899994</v>
      </c>
      <c r="AB28" s="42">
        <f>AA28/1000</f>
        <v>1013662.3335899995</v>
      </c>
      <c r="AF28" s="42">
        <v>4111</v>
      </c>
      <c r="AG28" s="742">
        <f>AG26+AG27</f>
        <v>1025492404.1699991</v>
      </c>
      <c r="AH28" s="744">
        <f>AG28/1000</f>
        <v>1025492.4041699992</v>
      </c>
    </row>
  </sheetData>
  <sheetProtection/>
  <mergeCells count="3">
    <mergeCell ref="I5:N5"/>
    <mergeCell ref="AB5:AG5"/>
    <mergeCell ref="B2:D2"/>
  </mergeCells>
  <printOptions/>
  <pageMargins left="0.27" right="0.17" top="0.23" bottom="0.26" header="0.17" footer="0.16"/>
  <pageSetup horizontalDpi="600" verticalDpi="600" orientation="landscape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2"/>
  <sheetViews>
    <sheetView zoomScalePageLayoutView="0" workbookViewId="0" topLeftCell="C1">
      <selection activeCell="H3" sqref="H3"/>
    </sheetView>
  </sheetViews>
  <sheetFormatPr defaultColWidth="9.140625" defaultRowHeight="12.75"/>
  <cols>
    <col min="1" max="1" width="4.28125" style="4" customWidth="1"/>
    <col min="2" max="2" width="31.7109375" style="100" customWidth="1"/>
    <col min="3" max="3" width="6.7109375" style="92" customWidth="1"/>
    <col min="4" max="4" width="16.140625" style="92" customWidth="1"/>
    <col min="5" max="5" width="20.00390625" style="92" customWidth="1"/>
    <col min="6" max="6" width="9.8515625" style="92" customWidth="1"/>
    <col min="7" max="7" width="18.28125" style="92" customWidth="1"/>
    <col min="8" max="8" width="14.421875" style="92" customWidth="1"/>
    <col min="9" max="9" width="8.28125" style="4" customWidth="1"/>
    <col min="10" max="10" width="10.28125" style="41" customWidth="1"/>
    <col min="11" max="11" width="19.28125" style="5" customWidth="1"/>
    <col min="12" max="12" width="18.57421875" style="5" customWidth="1"/>
    <col min="13" max="13" width="12.57421875" style="4" customWidth="1"/>
    <col min="14" max="14" width="12.140625" style="4" customWidth="1"/>
    <col min="15" max="15" width="11.57421875" style="4" customWidth="1"/>
    <col min="16" max="16" width="15.28125" style="4" customWidth="1"/>
    <col min="17" max="16384" width="9.140625" style="5" customWidth="1"/>
  </cols>
  <sheetData>
    <row r="1" spans="1:15" s="33" customFormat="1" ht="14.25">
      <c r="A1" s="314"/>
      <c r="B1" s="305"/>
      <c r="C1" s="297"/>
      <c r="D1" s="297"/>
      <c r="E1" s="297"/>
      <c r="F1" s="297"/>
      <c r="G1" s="23"/>
      <c r="I1" s="9"/>
      <c r="J1" s="9"/>
      <c r="K1" s="32"/>
      <c r="L1" s="32"/>
      <c r="O1" s="25" t="s">
        <v>384</v>
      </c>
    </row>
    <row r="2" spans="1:16" s="342" customFormat="1" ht="17.25">
      <c r="A2" s="340"/>
      <c r="B2" s="1"/>
      <c r="C2" s="2"/>
      <c r="D2" s="2"/>
      <c r="E2" s="2"/>
      <c r="F2" s="3"/>
      <c r="G2" s="3"/>
      <c r="H2" s="3"/>
      <c r="I2" s="341"/>
      <c r="J2" s="350"/>
      <c r="O2" s="902" t="s">
        <v>27</v>
      </c>
      <c r="P2" s="902"/>
    </row>
    <row r="3" spans="1:11" s="342" customFormat="1" ht="18" thickBot="1">
      <c r="A3" s="33"/>
      <c r="B3" s="24" t="s">
        <v>28</v>
      </c>
      <c r="C3" s="349" t="s">
        <v>588</v>
      </c>
      <c r="D3" s="7"/>
      <c r="E3" s="7"/>
      <c r="F3" s="7"/>
      <c r="G3" s="8"/>
      <c r="H3" s="8"/>
      <c r="I3" s="351"/>
      <c r="J3" s="352"/>
      <c r="K3" s="353"/>
    </row>
    <row r="4" spans="1:16" s="50" customFormat="1" ht="13.5">
      <c r="A4" s="43"/>
      <c r="B4" s="125" t="s">
        <v>75</v>
      </c>
      <c r="C4" s="44"/>
      <c r="D4" s="44"/>
      <c r="E4" s="44"/>
      <c r="F4" s="44"/>
      <c r="G4" s="44"/>
      <c r="H4" s="44"/>
      <c r="I4" s="45"/>
      <c r="J4" s="46"/>
      <c r="K4" s="45"/>
      <c r="L4" s="45"/>
      <c r="M4" s="43"/>
      <c r="N4" s="47"/>
      <c r="O4" s="43"/>
      <c r="P4" s="43"/>
    </row>
    <row r="5" spans="1:16" s="50" customFormat="1" ht="13.5">
      <c r="A5" s="43"/>
      <c r="B5" s="125" t="s">
        <v>509</v>
      </c>
      <c r="C5" s="44"/>
      <c r="D5" s="44"/>
      <c r="E5" s="44"/>
      <c r="F5" s="44"/>
      <c r="G5" s="44"/>
      <c r="H5" s="44"/>
      <c r="I5" s="45"/>
      <c r="J5" s="46"/>
      <c r="K5" s="45"/>
      <c r="L5" s="45"/>
      <c r="M5" s="43"/>
      <c r="N5" s="43"/>
      <c r="O5" s="43"/>
      <c r="P5" s="43"/>
    </row>
    <row r="6" spans="1:16" s="16" customFormat="1" ht="12.75">
      <c r="A6" s="43"/>
      <c r="B6" s="48"/>
      <c r="C6" s="48"/>
      <c r="D6" s="48"/>
      <c r="E6" s="48"/>
      <c r="F6" s="48"/>
      <c r="G6" s="48"/>
      <c r="H6" s="48"/>
      <c r="I6" s="43"/>
      <c r="J6" s="49"/>
      <c r="K6" s="50"/>
      <c r="L6" s="50"/>
      <c r="M6" s="43"/>
      <c r="N6" s="43"/>
      <c r="O6" s="43"/>
      <c r="P6" s="43"/>
    </row>
    <row r="7" spans="1:16" s="16" customFormat="1" ht="14.25">
      <c r="A7" s="51"/>
      <c r="B7" s="52"/>
      <c r="C7" s="53"/>
      <c r="D7" s="54" t="s">
        <v>76</v>
      </c>
      <c r="E7" s="55"/>
      <c r="F7" s="55"/>
      <c r="G7" s="55"/>
      <c r="H7" s="56"/>
      <c r="I7" s="57" t="s">
        <v>77</v>
      </c>
      <c r="J7" s="58"/>
      <c r="K7" s="59"/>
      <c r="L7" s="59"/>
      <c r="M7" s="59"/>
      <c r="N7" s="60"/>
      <c r="O7" s="51"/>
      <c r="P7" s="51"/>
    </row>
    <row r="8" spans="1:16" ht="89.25">
      <c r="A8" s="61"/>
      <c r="B8" s="62"/>
      <c r="C8" s="63"/>
      <c r="D8" s="64" t="s">
        <v>78</v>
      </c>
      <c r="E8" s="64"/>
      <c r="F8" s="64" t="s">
        <v>79</v>
      </c>
      <c r="G8" s="64"/>
      <c r="H8" s="64" t="s">
        <v>80</v>
      </c>
      <c r="I8" s="909" t="s">
        <v>83</v>
      </c>
      <c r="J8" s="910"/>
      <c r="K8" s="65" t="s">
        <v>281</v>
      </c>
      <c r="L8" s="65" t="s">
        <v>280</v>
      </c>
      <c r="M8" s="65" t="s">
        <v>86</v>
      </c>
      <c r="N8" s="65" t="s">
        <v>87</v>
      </c>
      <c r="O8" s="66" t="s">
        <v>88</v>
      </c>
      <c r="P8" s="67" t="s">
        <v>89</v>
      </c>
    </row>
    <row r="9" spans="1:16" s="71" customFormat="1" ht="38.25">
      <c r="A9" s="68" t="s">
        <v>111</v>
      </c>
      <c r="B9" s="69" t="s">
        <v>90</v>
      </c>
      <c r="C9" s="68"/>
      <c r="D9" s="14" t="s">
        <v>81</v>
      </c>
      <c r="E9" s="14" t="s">
        <v>374</v>
      </c>
      <c r="F9" s="14" t="s">
        <v>81</v>
      </c>
      <c r="G9" s="14" t="s">
        <v>374</v>
      </c>
      <c r="H9" s="14" t="s">
        <v>82</v>
      </c>
      <c r="I9" s="14" t="s">
        <v>84</v>
      </c>
      <c r="J9" s="70" t="s">
        <v>85</v>
      </c>
      <c r="K9" s="14" t="s">
        <v>82</v>
      </c>
      <c r="L9" s="14" t="s">
        <v>82</v>
      </c>
      <c r="M9" s="14" t="s">
        <v>82</v>
      </c>
      <c r="N9" s="14" t="s">
        <v>82</v>
      </c>
      <c r="O9" s="14" t="s">
        <v>82</v>
      </c>
      <c r="P9" s="14" t="s">
        <v>82</v>
      </c>
    </row>
    <row r="10" spans="1:16" ht="13.5">
      <c r="A10" s="72">
        <v>1</v>
      </c>
      <c r="B10" s="26">
        <v>2</v>
      </c>
      <c r="C10" s="12">
        <v>3</v>
      </c>
      <c r="D10" s="12">
        <v>4</v>
      </c>
      <c r="E10" s="13">
        <v>5</v>
      </c>
      <c r="F10" s="13">
        <v>6</v>
      </c>
      <c r="G10" s="13">
        <v>7</v>
      </c>
      <c r="H10" s="13">
        <v>8</v>
      </c>
      <c r="I10" s="72">
        <v>9</v>
      </c>
      <c r="J10" s="73"/>
      <c r="K10" s="12">
        <v>11</v>
      </c>
      <c r="L10" s="12">
        <v>12</v>
      </c>
      <c r="M10" s="72">
        <v>13</v>
      </c>
      <c r="N10" s="72">
        <v>14</v>
      </c>
      <c r="O10" s="72">
        <v>15</v>
      </c>
      <c r="P10" s="72">
        <v>16</v>
      </c>
    </row>
    <row r="11" spans="1:16" ht="54">
      <c r="A11" s="72"/>
      <c r="B11" s="395" t="s">
        <v>312</v>
      </c>
      <c r="C11" s="12"/>
      <c r="D11" s="72" t="s">
        <v>1</v>
      </c>
      <c r="E11" s="358">
        <v>4000</v>
      </c>
      <c r="F11" s="72" t="s">
        <v>1</v>
      </c>
      <c r="G11" s="358"/>
      <c r="H11" s="72" t="s">
        <v>1</v>
      </c>
      <c r="I11" s="72" t="s">
        <v>1</v>
      </c>
      <c r="J11" s="73" t="s">
        <v>1</v>
      </c>
      <c r="K11" s="72" t="s">
        <v>1</v>
      </c>
      <c r="L11" s="72" t="s">
        <v>1</v>
      </c>
      <c r="M11" s="72" t="s">
        <v>1</v>
      </c>
      <c r="N11" s="72" t="s">
        <v>1</v>
      </c>
      <c r="O11" s="72" t="s">
        <v>1</v>
      </c>
      <c r="P11" s="72" t="s">
        <v>1</v>
      </c>
    </row>
    <row r="12" spans="1:16" ht="27">
      <c r="A12" s="72">
        <v>1</v>
      </c>
      <c r="B12" s="75" t="s">
        <v>91</v>
      </c>
      <c r="C12" s="355">
        <v>287</v>
      </c>
      <c r="D12" s="72" t="s">
        <v>1</v>
      </c>
      <c r="E12" s="72" t="s">
        <v>1</v>
      </c>
      <c r="F12" s="72" t="s">
        <v>1</v>
      </c>
      <c r="G12" s="72" t="s">
        <v>1</v>
      </c>
      <c r="H12" s="72" t="s">
        <v>1</v>
      </c>
      <c r="I12" s="72" t="s">
        <v>1</v>
      </c>
      <c r="J12" s="73" t="s">
        <v>1</v>
      </c>
      <c r="K12" s="72" t="s">
        <v>1</v>
      </c>
      <c r="L12" s="72" t="s">
        <v>1</v>
      </c>
      <c r="M12" s="72" t="s">
        <v>1</v>
      </c>
      <c r="N12" s="72" t="s">
        <v>1</v>
      </c>
      <c r="O12" s="76">
        <v>200000</v>
      </c>
      <c r="P12" s="76">
        <f>O12</f>
        <v>200000</v>
      </c>
    </row>
    <row r="13" spans="1:16" s="374" customFormat="1" ht="13.5">
      <c r="A13" s="387">
        <v>2</v>
      </c>
      <c r="B13" s="396" t="s">
        <v>92</v>
      </c>
      <c r="C13" s="397">
        <v>1</v>
      </c>
      <c r="D13" s="379">
        <v>1</v>
      </c>
      <c r="E13" s="419">
        <f>D13*12*$E$11</f>
        <v>48000</v>
      </c>
      <c r="F13" s="419"/>
      <c r="G13" s="419">
        <f>F13*12*$G$11</f>
        <v>0</v>
      </c>
      <c r="H13" s="419">
        <f>E13+G13</f>
        <v>48000</v>
      </c>
      <c r="I13" s="384"/>
      <c r="J13" s="398">
        <f aca="true" t="shared" si="0" ref="J13:J28">(I13-360)*4.17</f>
        <v>-1501.2</v>
      </c>
      <c r="K13" s="381"/>
      <c r="L13" s="381"/>
      <c r="M13" s="381">
        <f aca="true" t="shared" si="1" ref="M13:M28">J13+K13+L13</f>
        <v>-1501.2</v>
      </c>
      <c r="N13" s="381">
        <f>M13*C13*12</f>
        <v>-18014.4</v>
      </c>
      <c r="O13" s="381" t="s">
        <v>1</v>
      </c>
      <c r="P13" s="381">
        <f>H13+N13</f>
        <v>29985.6</v>
      </c>
    </row>
    <row r="14" spans="1:16" ht="13.5">
      <c r="A14" s="72">
        <v>3</v>
      </c>
      <c r="B14" s="75" t="s">
        <v>93</v>
      </c>
      <c r="C14" s="12">
        <v>4</v>
      </c>
      <c r="D14" s="12"/>
      <c r="E14" s="357">
        <f>D14*12*$E$11</f>
        <v>0</v>
      </c>
      <c r="F14" s="12"/>
      <c r="G14" s="357">
        <f>F14*12*$G$11</f>
        <v>0</v>
      </c>
      <c r="H14" s="77">
        <f>E14+G14</f>
        <v>0</v>
      </c>
      <c r="I14" s="72">
        <v>4000</v>
      </c>
      <c r="J14" s="79">
        <f t="shared" si="0"/>
        <v>15178.8</v>
      </c>
      <c r="K14" s="76">
        <v>15000</v>
      </c>
      <c r="L14" s="76">
        <v>10000</v>
      </c>
      <c r="M14" s="76">
        <f t="shared" si="1"/>
        <v>40178.8</v>
      </c>
      <c r="N14" s="76">
        <f aca="true" t="shared" si="2" ref="N14:N28">M14*C14*12</f>
        <v>1928582.4000000001</v>
      </c>
      <c r="O14" s="76" t="s">
        <v>1</v>
      </c>
      <c r="P14" s="76">
        <f>H14+N14</f>
        <v>1928582.4000000001</v>
      </c>
    </row>
    <row r="15" spans="1:16" ht="13.5">
      <c r="A15" s="72">
        <v>4</v>
      </c>
      <c r="B15" s="75" t="s">
        <v>94</v>
      </c>
      <c r="C15" s="12">
        <v>3</v>
      </c>
      <c r="D15" s="12" t="s">
        <v>1</v>
      </c>
      <c r="E15" s="12" t="s">
        <v>1</v>
      </c>
      <c r="F15" s="12" t="s">
        <v>1</v>
      </c>
      <c r="G15" s="12" t="s">
        <v>1</v>
      </c>
      <c r="H15" s="12" t="s">
        <v>1</v>
      </c>
      <c r="I15" s="72">
        <v>2000</v>
      </c>
      <c r="J15" s="79">
        <f t="shared" si="0"/>
        <v>6838.8</v>
      </c>
      <c r="K15" s="76">
        <v>5000</v>
      </c>
      <c r="L15" s="76"/>
      <c r="M15" s="76">
        <f t="shared" si="1"/>
        <v>11838.8</v>
      </c>
      <c r="N15" s="76">
        <f t="shared" si="2"/>
        <v>426196.79999999993</v>
      </c>
      <c r="O15" s="76" t="s">
        <v>1</v>
      </c>
      <c r="P15" s="76">
        <f>N15</f>
        <v>426196.79999999993</v>
      </c>
    </row>
    <row r="16" spans="1:16" ht="13.5">
      <c r="A16" s="72">
        <v>5</v>
      </c>
      <c r="B16" s="75" t="s">
        <v>95</v>
      </c>
      <c r="C16" s="12">
        <v>8</v>
      </c>
      <c r="D16" s="12" t="s">
        <v>1</v>
      </c>
      <c r="E16" s="12" t="s">
        <v>1</v>
      </c>
      <c r="F16" s="12" t="s">
        <v>1</v>
      </c>
      <c r="G16" s="12" t="s">
        <v>1</v>
      </c>
      <c r="H16" s="12" t="s">
        <v>1</v>
      </c>
      <c r="I16" s="72">
        <v>2000</v>
      </c>
      <c r="J16" s="79">
        <f t="shared" si="0"/>
        <v>6838.8</v>
      </c>
      <c r="K16" s="76">
        <v>5000</v>
      </c>
      <c r="L16" s="76"/>
      <c r="M16" s="76">
        <f t="shared" si="1"/>
        <v>11838.8</v>
      </c>
      <c r="N16" s="76">
        <f t="shared" si="2"/>
        <v>1136524.7999999998</v>
      </c>
      <c r="O16" s="76" t="s">
        <v>1</v>
      </c>
      <c r="P16" s="76">
        <f>N16</f>
        <v>1136524.7999999998</v>
      </c>
    </row>
    <row r="17" spans="1:16" ht="13.5">
      <c r="A17" s="72">
        <v>6</v>
      </c>
      <c r="B17" s="75" t="s">
        <v>96</v>
      </c>
      <c r="C17" s="12">
        <v>1</v>
      </c>
      <c r="D17" s="12" t="s">
        <v>1</v>
      </c>
      <c r="E17" s="12" t="s">
        <v>1</v>
      </c>
      <c r="F17" s="12" t="s">
        <v>1</v>
      </c>
      <c r="G17" s="12" t="s">
        <v>1</v>
      </c>
      <c r="H17" s="12" t="s">
        <v>1</v>
      </c>
      <c r="I17" s="72">
        <v>5000</v>
      </c>
      <c r="J17" s="79">
        <f t="shared" si="0"/>
        <v>19348.8</v>
      </c>
      <c r="K17" s="76">
        <v>10000</v>
      </c>
      <c r="L17" s="76"/>
      <c r="M17" s="76">
        <f t="shared" si="1"/>
        <v>29348.8</v>
      </c>
      <c r="N17" s="76">
        <f t="shared" si="2"/>
        <v>352185.6</v>
      </c>
      <c r="O17" s="76" t="s">
        <v>1</v>
      </c>
      <c r="P17" s="76">
        <f>N17</f>
        <v>352185.6</v>
      </c>
    </row>
    <row r="18" spans="1:16" ht="13.5">
      <c r="A18" s="72">
        <v>7</v>
      </c>
      <c r="B18" s="75" t="s">
        <v>97</v>
      </c>
      <c r="C18" s="12">
        <v>1</v>
      </c>
      <c r="D18" s="12"/>
      <c r="E18" s="357">
        <f>D18*12*$E$11</f>
        <v>0</v>
      </c>
      <c r="F18" s="12"/>
      <c r="G18" s="357">
        <f>F18*12*$G$11</f>
        <v>0</v>
      </c>
      <c r="H18" s="77">
        <f>E18+G18</f>
        <v>0</v>
      </c>
      <c r="I18" s="72">
        <v>4000</v>
      </c>
      <c r="J18" s="79">
        <f t="shared" si="0"/>
        <v>15178.8</v>
      </c>
      <c r="K18" s="76">
        <v>15000</v>
      </c>
      <c r="L18" s="76">
        <v>10000</v>
      </c>
      <c r="M18" s="76">
        <f t="shared" si="1"/>
        <v>40178.8</v>
      </c>
      <c r="N18" s="76">
        <f t="shared" si="2"/>
        <v>482145.60000000003</v>
      </c>
      <c r="O18" s="76" t="s">
        <v>1</v>
      </c>
      <c r="P18" s="76">
        <f>H18+N18</f>
        <v>482145.60000000003</v>
      </c>
    </row>
    <row r="19" spans="1:16" ht="27">
      <c r="A19" s="72">
        <v>8</v>
      </c>
      <c r="B19" s="75" t="s">
        <v>98</v>
      </c>
      <c r="C19" s="12">
        <v>1</v>
      </c>
      <c r="D19" s="12" t="s">
        <v>1</v>
      </c>
      <c r="E19" s="12" t="s">
        <v>1</v>
      </c>
      <c r="F19" s="12" t="s">
        <v>1</v>
      </c>
      <c r="G19" s="12" t="s">
        <v>1</v>
      </c>
      <c r="H19" s="12" t="s">
        <v>1</v>
      </c>
      <c r="I19" s="72">
        <v>2000</v>
      </c>
      <c r="J19" s="79">
        <f t="shared" si="0"/>
        <v>6838.8</v>
      </c>
      <c r="K19" s="76">
        <v>5000</v>
      </c>
      <c r="L19" s="76"/>
      <c r="M19" s="76">
        <f t="shared" si="1"/>
        <v>11838.8</v>
      </c>
      <c r="N19" s="76">
        <f t="shared" si="2"/>
        <v>142065.59999999998</v>
      </c>
      <c r="O19" s="76" t="s">
        <v>1</v>
      </c>
      <c r="P19" s="76">
        <f>N19</f>
        <v>142065.59999999998</v>
      </c>
    </row>
    <row r="20" spans="1:16" ht="27">
      <c r="A20" s="72">
        <v>9</v>
      </c>
      <c r="B20" s="75" t="s">
        <v>99</v>
      </c>
      <c r="C20" s="12">
        <v>3</v>
      </c>
      <c r="D20" s="12"/>
      <c r="E20" s="357">
        <f>D20*12*$E$11</f>
        <v>0</v>
      </c>
      <c r="F20" s="12"/>
      <c r="G20" s="357">
        <f>F20*12*$G$11</f>
        <v>0</v>
      </c>
      <c r="H20" s="77">
        <f>E20+G20</f>
        <v>0</v>
      </c>
      <c r="I20" s="72">
        <v>4000</v>
      </c>
      <c r="J20" s="79">
        <f t="shared" si="0"/>
        <v>15178.8</v>
      </c>
      <c r="K20" s="76">
        <v>10000</v>
      </c>
      <c r="L20" s="76">
        <v>5000</v>
      </c>
      <c r="M20" s="76">
        <f t="shared" si="1"/>
        <v>30178.8</v>
      </c>
      <c r="N20" s="76">
        <f t="shared" si="2"/>
        <v>1086436.7999999998</v>
      </c>
      <c r="O20" s="76" t="s">
        <v>1</v>
      </c>
      <c r="P20" s="76">
        <f>H20+N20</f>
        <v>1086436.7999999998</v>
      </c>
    </row>
    <row r="21" spans="1:16" ht="40.5">
      <c r="A21" s="72">
        <v>10</v>
      </c>
      <c r="B21" s="75" t="s">
        <v>100</v>
      </c>
      <c r="C21" s="12">
        <v>28</v>
      </c>
      <c r="D21" s="12"/>
      <c r="E21" s="357">
        <f>D21*12*$E$11</f>
        <v>0</v>
      </c>
      <c r="F21" s="12"/>
      <c r="G21" s="357">
        <f>F21*12*$G$11</f>
        <v>0</v>
      </c>
      <c r="H21" s="77">
        <f>E21+G21</f>
        <v>0</v>
      </c>
      <c r="I21" s="72">
        <v>3000</v>
      </c>
      <c r="J21" s="79">
        <f t="shared" si="0"/>
        <v>11008.8</v>
      </c>
      <c r="K21" s="76">
        <v>8000</v>
      </c>
      <c r="L21" s="76">
        <v>4000</v>
      </c>
      <c r="M21" s="76">
        <f>J21+K21+L21</f>
        <v>23008.8</v>
      </c>
      <c r="N21" s="76">
        <f t="shared" si="2"/>
        <v>7730956.800000001</v>
      </c>
      <c r="O21" s="76" t="s">
        <v>1</v>
      </c>
      <c r="P21" s="76">
        <f>H21+N21</f>
        <v>7730956.800000001</v>
      </c>
    </row>
    <row r="22" spans="1:16" ht="27">
      <c r="A22" s="72">
        <v>11</v>
      </c>
      <c r="B22" s="75" t="s">
        <v>101</v>
      </c>
      <c r="C22" s="12">
        <v>3</v>
      </c>
      <c r="D22" s="12" t="s">
        <v>1</v>
      </c>
      <c r="E22" s="12" t="s">
        <v>1</v>
      </c>
      <c r="F22" s="12" t="s">
        <v>1</v>
      </c>
      <c r="G22" s="12" t="s">
        <v>1</v>
      </c>
      <c r="H22" s="12" t="s">
        <v>1</v>
      </c>
      <c r="I22" s="72">
        <v>4000</v>
      </c>
      <c r="J22" s="79">
        <f t="shared" si="0"/>
        <v>15178.8</v>
      </c>
      <c r="K22" s="76">
        <v>5000</v>
      </c>
      <c r="L22" s="76"/>
      <c r="M22" s="76">
        <f t="shared" si="1"/>
        <v>20178.8</v>
      </c>
      <c r="N22" s="76">
        <f t="shared" si="2"/>
        <v>726436.7999999999</v>
      </c>
      <c r="O22" s="76" t="s">
        <v>1</v>
      </c>
      <c r="P22" s="76">
        <f aca="true" t="shared" si="3" ref="P22:P28">N22</f>
        <v>726436.7999999999</v>
      </c>
    </row>
    <row r="23" spans="1:16" ht="40.5">
      <c r="A23" s="72">
        <v>12</v>
      </c>
      <c r="B23" s="75" t="s">
        <v>102</v>
      </c>
      <c r="C23" s="12">
        <v>28</v>
      </c>
      <c r="D23" s="12" t="s">
        <v>1</v>
      </c>
      <c r="E23" s="12" t="s">
        <v>1</v>
      </c>
      <c r="F23" s="12" t="s">
        <v>1</v>
      </c>
      <c r="G23" s="12" t="s">
        <v>1</v>
      </c>
      <c r="H23" s="12" t="s">
        <v>1</v>
      </c>
      <c r="I23" s="72">
        <v>3000</v>
      </c>
      <c r="J23" s="79">
        <f t="shared" si="0"/>
        <v>11008.8</v>
      </c>
      <c r="K23" s="76">
        <v>4000</v>
      </c>
      <c r="L23" s="76"/>
      <c r="M23" s="76">
        <f t="shared" si="1"/>
        <v>15008.8</v>
      </c>
      <c r="N23" s="76">
        <f t="shared" si="2"/>
        <v>5042956.8</v>
      </c>
      <c r="O23" s="76" t="s">
        <v>1</v>
      </c>
      <c r="P23" s="76">
        <f t="shared" si="3"/>
        <v>5042956.8</v>
      </c>
    </row>
    <row r="24" spans="1:16" ht="27">
      <c r="A24" s="72">
        <v>13</v>
      </c>
      <c r="B24" s="75" t="s">
        <v>103</v>
      </c>
      <c r="C24" s="420">
        <f>+C25+C26+C27+C28</f>
        <v>12</v>
      </c>
      <c r="D24" s="12" t="s">
        <v>1</v>
      </c>
      <c r="E24" s="12" t="s">
        <v>1</v>
      </c>
      <c r="F24" s="12" t="s">
        <v>1</v>
      </c>
      <c r="G24" s="12" t="s">
        <v>1</v>
      </c>
      <c r="H24" s="12" t="s">
        <v>1</v>
      </c>
      <c r="I24" s="72">
        <v>3000</v>
      </c>
      <c r="J24" s="79">
        <f t="shared" si="0"/>
        <v>11008.8</v>
      </c>
      <c r="K24" s="76">
        <v>5000</v>
      </c>
      <c r="L24" s="76"/>
      <c r="M24" s="76">
        <f t="shared" si="1"/>
        <v>16008.8</v>
      </c>
      <c r="N24" s="76">
        <f>M24*C24*12</f>
        <v>2305267.1999999997</v>
      </c>
      <c r="O24" s="76" t="s">
        <v>1</v>
      </c>
      <c r="P24" s="76">
        <f t="shared" si="3"/>
        <v>2305267.1999999997</v>
      </c>
    </row>
    <row r="25" spans="1:16" ht="27">
      <c r="A25" s="72">
        <v>14</v>
      </c>
      <c r="B25" s="75" t="s">
        <v>104</v>
      </c>
      <c r="C25" s="12"/>
      <c r="D25" s="12" t="s">
        <v>1</v>
      </c>
      <c r="E25" s="12" t="s">
        <v>1</v>
      </c>
      <c r="F25" s="12" t="s">
        <v>1</v>
      </c>
      <c r="G25" s="12" t="s">
        <v>1</v>
      </c>
      <c r="H25" s="12" t="s">
        <v>1</v>
      </c>
      <c r="I25" s="72">
        <v>5000</v>
      </c>
      <c r="J25" s="79">
        <f t="shared" si="0"/>
        <v>19348.8</v>
      </c>
      <c r="K25" s="76">
        <v>10000</v>
      </c>
      <c r="L25" s="76">
        <v>100000</v>
      </c>
      <c r="M25" s="76">
        <f>J25+K25+L25</f>
        <v>129348.8</v>
      </c>
      <c r="N25" s="76">
        <f>M25*C25*12</f>
        <v>0</v>
      </c>
      <c r="O25" s="76" t="s">
        <v>1</v>
      </c>
      <c r="P25" s="76">
        <f>N25</f>
        <v>0</v>
      </c>
    </row>
    <row r="26" spans="1:16" ht="27">
      <c r="A26" s="72">
        <v>15</v>
      </c>
      <c r="B26" s="75" t="s">
        <v>105</v>
      </c>
      <c r="C26" s="12">
        <v>10</v>
      </c>
      <c r="D26" s="12" t="s">
        <v>1</v>
      </c>
      <c r="E26" s="12" t="s">
        <v>1</v>
      </c>
      <c r="F26" s="12" t="s">
        <v>1</v>
      </c>
      <c r="G26" s="12" t="s">
        <v>1</v>
      </c>
      <c r="H26" s="12" t="s">
        <v>1</v>
      </c>
      <c r="I26" s="72">
        <v>5000</v>
      </c>
      <c r="J26" s="79">
        <f t="shared" si="0"/>
        <v>19348.8</v>
      </c>
      <c r="K26" s="76"/>
      <c r="L26" s="76"/>
      <c r="M26" s="76">
        <f t="shared" si="1"/>
        <v>19348.8</v>
      </c>
      <c r="N26" s="76">
        <f t="shared" si="2"/>
        <v>2321856</v>
      </c>
      <c r="O26" s="76" t="s">
        <v>1</v>
      </c>
      <c r="P26" s="76">
        <f t="shared" si="3"/>
        <v>2321856</v>
      </c>
    </row>
    <row r="27" spans="1:16" ht="13.5">
      <c r="A27" s="72">
        <v>16</v>
      </c>
      <c r="B27" s="75" t="s">
        <v>106</v>
      </c>
      <c r="C27" s="12">
        <v>2</v>
      </c>
      <c r="D27" s="12" t="s">
        <v>1</v>
      </c>
      <c r="E27" s="12" t="s">
        <v>1</v>
      </c>
      <c r="F27" s="12" t="s">
        <v>1</v>
      </c>
      <c r="G27" s="12" t="s">
        <v>1</v>
      </c>
      <c r="H27" s="12" t="s">
        <v>1</v>
      </c>
      <c r="I27" s="72">
        <v>3000</v>
      </c>
      <c r="J27" s="79">
        <f t="shared" si="0"/>
        <v>11008.8</v>
      </c>
      <c r="K27" s="76"/>
      <c r="L27" s="76"/>
      <c r="M27" s="76">
        <f t="shared" si="1"/>
        <v>11008.8</v>
      </c>
      <c r="N27" s="76">
        <f t="shared" si="2"/>
        <v>264211.19999999995</v>
      </c>
      <c r="O27" s="76" t="s">
        <v>1</v>
      </c>
      <c r="P27" s="76">
        <f t="shared" si="3"/>
        <v>264211.19999999995</v>
      </c>
    </row>
    <row r="28" spans="1:16" ht="13.5">
      <c r="A28" s="72">
        <v>17</v>
      </c>
      <c r="B28" s="75" t="s">
        <v>107</v>
      </c>
      <c r="C28" s="12"/>
      <c r="D28" s="81" t="s">
        <v>1</v>
      </c>
      <c r="E28" s="82" t="s">
        <v>1</v>
      </c>
      <c r="F28" s="81" t="s">
        <v>1</v>
      </c>
      <c r="G28" s="82" t="s">
        <v>1</v>
      </c>
      <c r="H28" s="82" t="s">
        <v>1</v>
      </c>
      <c r="I28" s="72">
        <v>10000</v>
      </c>
      <c r="J28" s="79">
        <f t="shared" si="0"/>
        <v>40198.8</v>
      </c>
      <c r="K28" s="76">
        <v>20000</v>
      </c>
      <c r="L28" s="76">
        <v>50000</v>
      </c>
      <c r="M28" s="76">
        <f t="shared" si="1"/>
        <v>110198.8</v>
      </c>
      <c r="N28" s="76">
        <f t="shared" si="2"/>
        <v>0</v>
      </c>
      <c r="O28" s="76" t="s">
        <v>1</v>
      </c>
      <c r="P28" s="76">
        <f t="shared" si="3"/>
        <v>0</v>
      </c>
    </row>
    <row r="29" spans="1:16" ht="27">
      <c r="A29" s="72"/>
      <c r="B29" s="75" t="s">
        <v>108</v>
      </c>
      <c r="C29" s="12">
        <v>16</v>
      </c>
      <c r="D29" s="81" t="s">
        <v>1</v>
      </c>
      <c r="E29" s="81" t="s">
        <v>1</v>
      </c>
      <c r="F29" s="81" t="s">
        <v>1</v>
      </c>
      <c r="G29" s="81" t="s">
        <v>1</v>
      </c>
      <c r="H29" s="81" t="s">
        <v>1</v>
      </c>
      <c r="I29" s="81" t="s">
        <v>1</v>
      </c>
      <c r="J29" s="73" t="s">
        <v>1</v>
      </c>
      <c r="K29" s="81" t="s">
        <v>1</v>
      </c>
      <c r="L29" s="81" t="s">
        <v>1</v>
      </c>
      <c r="M29" s="83" t="s">
        <v>1</v>
      </c>
      <c r="N29" s="83" t="s">
        <v>1</v>
      </c>
      <c r="O29" s="83" t="s">
        <v>1</v>
      </c>
      <c r="P29" s="83" t="s">
        <v>1</v>
      </c>
    </row>
    <row r="30" spans="1:16" ht="54">
      <c r="A30" s="72">
        <v>18</v>
      </c>
      <c r="B30" s="75" t="s">
        <v>109</v>
      </c>
      <c r="C30" s="84">
        <f>+(C12-C13-C14-C18-C20-C21-C29)/4</f>
        <v>58.5</v>
      </c>
      <c r="D30" s="681">
        <f>+C30-F30</f>
        <v>58.5</v>
      </c>
      <c r="E30" s="357">
        <f>D30*12*$E$11</f>
        <v>2808000</v>
      </c>
      <c r="F30" s="681"/>
      <c r="G30" s="357">
        <f>F30*12*$G$11</f>
        <v>0</v>
      </c>
      <c r="H30" s="77">
        <f>E30+G30</f>
        <v>2808000</v>
      </c>
      <c r="I30" s="72" t="s">
        <v>1</v>
      </c>
      <c r="J30" s="73"/>
      <c r="K30" s="76" t="s">
        <v>1</v>
      </c>
      <c r="L30" s="76" t="s">
        <v>1</v>
      </c>
      <c r="M30" s="76" t="s">
        <v>1</v>
      </c>
      <c r="N30" s="76" t="s">
        <v>1</v>
      </c>
      <c r="O30" s="76" t="s">
        <v>1</v>
      </c>
      <c r="P30" s="76">
        <f>H30</f>
        <v>2808000</v>
      </c>
    </row>
    <row r="31" spans="1:16" s="90" customFormat="1" ht="33">
      <c r="A31" s="85"/>
      <c r="B31" s="523" t="s">
        <v>375</v>
      </c>
      <c r="C31" s="86"/>
      <c r="D31" s="87"/>
      <c r="E31" s="87"/>
      <c r="F31" s="87"/>
      <c r="G31" s="87"/>
      <c r="H31" s="87"/>
      <c r="I31" s="85"/>
      <c r="J31" s="88"/>
      <c r="K31" s="89"/>
      <c r="L31" s="89"/>
      <c r="M31" s="89"/>
      <c r="N31" s="89">
        <f>SUM(N13:N30)*1.2</f>
        <v>28713369.599999998</v>
      </c>
      <c r="O31" s="89"/>
      <c r="P31" s="89">
        <f>SUM(P12:P30)*1.2-N31+N31*0.3</f>
        <v>12281210.879999999</v>
      </c>
    </row>
    <row r="32" spans="1:16" ht="13.5">
      <c r="A32" s="72"/>
      <c r="B32" s="75"/>
      <c r="C32" s="12"/>
      <c r="D32" s="12"/>
      <c r="E32" s="77"/>
      <c r="F32" s="12"/>
      <c r="G32" s="13"/>
      <c r="H32" s="77"/>
      <c r="I32" s="72"/>
      <c r="J32" s="73"/>
      <c r="K32" s="76"/>
      <c r="L32" s="76"/>
      <c r="M32" s="76"/>
      <c r="N32" s="76"/>
      <c r="O32" s="76"/>
      <c r="P32" s="76"/>
    </row>
    <row r="33" spans="1:16" ht="13.5">
      <c r="A33" s="72">
        <v>19</v>
      </c>
      <c r="B33" s="522" t="s">
        <v>373</v>
      </c>
      <c r="C33" s="12" t="s">
        <v>1</v>
      </c>
      <c r="D33" s="12" t="s">
        <v>1</v>
      </c>
      <c r="E33" s="12" t="s">
        <v>1</v>
      </c>
      <c r="F33" s="12" t="s">
        <v>1</v>
      </c>
      <c r="G33" s="12" t="s">
        <v>1</v>
      </c>
      <c r="H33" s="12" t="s">
        <v>1</v>
      </c>
      <c r="I33" s="12" t="s">
        <v>1</v>
      </c>
      <c r="J33" s="74" t="s">
        <v>1</v>
      </c>
      <c r="K33" s="12" t="s">
        <v>1</v>
      </c>
      <c r="L33" s="12" t="s">
        <v>1</v>
      </c>
      <c r="M33" s="82" t="s">
        <v>1</v>
      </c>
      <c r="N33" s="82" t="s">
        <v>1</v>
      </c>
      <c r="O33" s="82" t="s">
        <v>1</v>
      </c>
      <c r="P33" s="76">
        <f>SUM(P34:P38)</f>
        <v>6263000</v>
      </c>
    </row>
    <row r="34" spans="1:16" ht="67.5">
      <c r="A34" s="72">
        <v>1</v>
      </c>
      <c r="B34" s="740" t="s">
        <v>610</v>
      </c>
      <c r="C34" s="12" t="s">
        <v>1</v>
      </c>
      <c r="D34" s="12" t="s">
        <v>1</v>
      </c>
      <c r="E34" s="12" t="s">
        <v>1</v>
      </c>
      <c r="F34" s="12" t="s">
        <v>1</v>
      </c>
      <c r="G34" s="12" t="s">
        <v>1</v>
      </c>
      <c r="H34" s="12" t="s">
        <v>1</v>
      </c>
      <c r="I34" s="12" t="s">
        <v>1</v>
      </c>
      <c r="J34" s="74" t="s">
        <v>1</v>
      </c>
      <c r="K34" s="12" t="s">
        <v>1</v>
      </c>
      <c r="L34" s="12" t="s">
        <v>1</v>
      </c>
      <c r="M34" s="82" t="s">
        <v>1</v>
      </c>
      <c r="N34" s="82" t="s">
        <v>1</v>
      </c>
      <c r="O34" s="82" t="s">
        <v>1</v>
      </c>
      <c r="P34" s="76"/>
    </row>
    <row r="35" spans="1:16" ht="13.5">
      <c r="A35" s="72">
        <v>2</v>
      </c>
      <c r="B35" s="307" t="s">
        <v>611</v>
      </c>
      <c r="C35" s="12" t="s">
        <v>1</v>
      </c>
      <c r="D35" s="12" t="s">
        <v>1</v>
      </c>
      <c r="E35" s="12" t="s">
        <v>1</v>
      </c>
      <c r="F35" s="12" t="s">
        <v>1</v>
      </c>
      <c r="G35" s="12" t="s">
        <v>1</v>
      </c>
      <c r="H35" s="12" t="s">
        <v>1</v>
      </c>
      <c r="I35" s="12" t="s">
        <v>1</v>
      </c>
      <c r="J35" s="74" t="s">
        <v>1</v>
      </c>
      <c r="K35" s="12" t="s">
        <v>1</v>
      </c>
      <c r="L35" s="12" t="s">
        <v>1</v>
      </c>
      <c r="M35" s="82" t="s">
        <v>1</v>
      </c>
      <c r="N35" s="82" t="s">
        <v>1</v>
      </c>
      <c r="O35" s="82" t="s">
        <v>1</v>
      </c>
      <c r="P35" s="76">
        <v>6143000</v>
      </c>
    </row>
    <row r="36" spans="1:16" ht="13.5">
      <c r="A36" s="72">
        <v>3</v>
      </c>
      <c r="B36" s="741" t="s">
        <v>612</v>
      </c>
      <c r="C36" s="12" t="s">
        <v>1</v>
      </c>
      <c r="D36" s="12" t="s">
        <v>1</v>
      </c>
      <c r="E36" s="12" t="s">
        <v>1</v>
      </c>
      <c r="F36" s="12" t="s">
        <v>1</v>
      </c>
      <c r="G36" s="12" t="s">
        <v>1</v>
      </c>
      <c r="H36" s="12" t="s">
        <v>1</v>
      </c>
      <c r="I36" s="12" t="s">
        <v>1</v>
      </c>
      <c r="J36" s="74" t="s">
        <v>1</v>
      </c>
      <c r="K36" s="12" t="s">
        <v>1</v>
      </c>
      <c r="L36" s="12" t="s">
        <v>1</v>
      </c>
      <c r="M36" s="82" t="s">
        <v>1</v>
      </c>
      <c r="N36" s="82" t="s">
        <v>1</v>
      </c>
      <c r="O36" s="82" t="s">
        <v>1</v>
      </c>
      <c r="P36" s="76">
        <v>120000</v>
      </c>
    </row>
    <row r="37" spans="1:16" ht="13.5">
      <c r="A37" s="72">
        <v>4</v>
      </c>
      <c r="B37" s="91"/>
      <c r="C37" s="12" t="s">
        <v>1</v>
      </c>
      <c r="D37" s="12" t="s">
        <v>1</v>
      </c>
      <c r="E37" s="12" t="s">
        <v>1</v>
      </c>
      <c r="F37" s="12" t="s">
        <v>1</v>
      </c>
      <c r="G37" s="12" t="s">
        <v>1</v>
      </c>
      <c r="H37" s="12" t="s">
        <v>1</v>
      </c>
      <c r="I37" s="12" t="s">
        <v>1</v>
      </c>
      <c r="J37" s="74" t="s">
        <v>1</v>
      </c>
      <c r="K37" s="12" t="s">
        <v>1</v>
      </c>
      <c r="L37" s="12" t="s">
        <v>1</v>
      </c>
      <c r="M37" s="82" t="s">
        <v>1</v>
      </c>
      <c r="N37" s="82" t="s">
        <v>1</v>
      </c>
      <c r="O37" s="82" t="s">
        <v>1</v>
      </c>
      <c r="P37" s="76"/>
    </row>
    <row r="38" spans="1:16" ht="13.5">
      <c r="A38" s="72" t="s">
        <v>311</v>
      </c>
      <c r="B38" s="91"/>
      <c r="C38" s="12" t="s">
        <v>1</v>
      </c>
      <c r="D38" s="12" t="s">
        <v>1</v>
      </c>
      <c r="E38" s="12" t="s">
        <v>1</v>
      </c>
      <c r="F38" s="12" t="s">
        <v>1</v>
      </c>
      <c r="G38" s="12" t="s">
        <v>1</v>
      </c>
      <c r="H38" s="12" t="s">
        <v>1</v>
      </c>
      <c r="I38" s="12" t="s">
        <v>1</v>
      </c>
      <c r="J38" s="74" t="s">
        <v>1</v>
      </c>
      <c r="K38" s="12" t="s">
        <v>1</v>
      </c>
      <c r="L38" s="12" t="s">
        <v>1</v>
      </c>
      <c r="M38" s="82" t="s">
        <v>1</v>
      </c>
      <c r="N38" s="82" t="s">
        <v>1</v>
      </c>
      <c r="O38" s="82" t="s">
        <v>1</v>
      </c>
      <c r="P38" s="76"/>
    </row>
    <row r="39" spans="1:16" s="394" customFormat="1" ht="18" thickBot="1">
      <c r="A39" s="389"/>
      <c r="B39" s="390" t="s">
        <v>110</v>
      </c>
      <c r="C39" s="391" t="s">
        <v>1</v>
      </c>
      <c r="D39" s="391" t="s">
        <v>1</v>
      </c>
      <c r="E39" s="391" t="s">
        <v>1</v>
      </c>
      <c r="F39" s="391" t="s">
        <v>1</v>
      </c>
      <c r="G39" s="391" t="s">
        <v>1</v>
      </c>
      <c r="H39" s="391" t="s">
        <v>1</v>
      </c>
      <c r="I39" s="391" t="s">
        <v>1</v>
      </c>
      <c r="J39" s="392" t="s">
        <v>1</v>
      </c>
      <c r="K39" s="391" t="s">
        <v>1</v>
      </c>
      <c r="L39" s="391" t="s">
        <v>1</v>
      </c>
      <c r="M39" s="393" t="s">
        <v>1</v>
      </c>
      <c r="N39" s="393" t="s">
        <v>1</v>
      </c>
      <c r="O39" s="393" t="s">
        <v>1</v>
      </c>
      <c r="P39" s="393">
        <f>P31+P33</f>
        <v>18544210.88</v>
      </c>
    </row>
    <row r="40" spans="2:16" ht="18" thickBot="1">
      <c r="B40" s="93"/>
      <c r="C40" s="94"/>
      <c r="D40" s="94"/>
      <c r="E40" s="94"/>
      <c r="F40" s="94"/>
      <c r="G40" s="94"/>
      <c r="H40" s="94"/>
      <c r="I40" s="95"/>
      <c r="J40" s="96"/>
      <c r="K40" s="95"/>
      <c r="L40" s="95"/>
      <c r="M40" s="97"/>
      <c r="N40" s="97"/>
      <c r="O40" s="97"/>
      <c r="P40" s="98">
        <f>P39/1000</f>
        <v>18544.21088</v>
      </c>
    </row>
    <row r="41" spans="2:8" ht="13.5">
      <c r="B41" s="99"/>
      <c r="C41" s="94"/>
      <c r="D41" s="94"/>
      <c r="E41" s="94"/>
      <c r="F41" s="94"/>
      <c r="G41" s="94"/>
      <c r="H41" s="94"/>
    </row>
    <row r="42" spans="2:6" ht="13.5">
      <c r="B42" s="680"/>
      <c r="C42" s="680"/>
      <c r="D42" s="680"/>
      <c r="E42" s="680"/>
      <c r="F42" s="680"/>
    </row>
  </sheetData>
  <sheetProtection/>
  <mergeCells count="2">
    <mergeCell ref="O2:P2"/>
    <mergeCell ref="I8:J8"/>
  </mergeCells>
  <printOptions/>
  <pageMargins left="0.25" right="0.25" top="0.25" bottom="0.25" header="0.22" footer="0.16"/>
  <pageSetup horizontalDpi="600" verticalDpi="600" orientation="landscape" paperSize="9" scale="65" r:id="rId1"/>
  <ignoredErrors>
    <ignoredError sqref="P18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Q15"/>
  <sheetViews>
    <sheetView zoomScalePageLayoutView="0" workbookViewId="0" topLeftCell="A1">
      <selection activeCell="B4" sqref="B3:L4"/>
    </sheetView>
  </sheetViews>
  <sheetFormatPr defaultColWidth="9.140625" defaultRowHeight="12.75"/>
  <cols>
    <col min="1" max="1" width="4.00390625" style="5" customWidth="1"/>
    <col min="2" max="2" width="41.7109375" style="5" bestFit="1" customWidth="1"/>
    <col min="3" max="3" width="8.28125" style="5" bestFit="1" customWidth="1"/>
    <col min="4" max="4" width="15.140625" style="5" customWidth="1"/>
    <col min="5" max="5" width="14.7109375" style="5" customWidth="1"/>
    <col min="6" max="6" width="7.8515625" style="5" bestFit="1" customWidth="1"/>
    <col min="7" max="7" width="10.421875" style="5" customWidth="1"/>
    <col min="8" max="8" width="8.28125" style="5" bestFit="1" customWidth="1"/>
    <col min="9" max="9" width="9.7109375" style="5" bestFit="1" customWidth="1"/>
    <col min="10" max="10" width="9.140625" style="5" customWidth="1"/>
    <col min="11" max="11" width="10.00390625" style="5" customWidth="1"/>
    <col min="12" max="16384" width="9.140625" style="5" customWidth="1"/>
  </cols>
  <sheetData>
    <row r="1" spans="1:13" s="342" customFormat="1" ht="23.25" customHeight="1">
      <c r="A1" s="340"/>
      <c r="B1" s="911"/>
      <c r="C1" s="911"/>
      <c r="D1" s="911"/>
      <c r="E1" s="911"/>
      <c r="F1" s="911"/>
      <c r="G1" s="3"/>
      <c r="H1" s="3"/>
      <c r="I1" s="32"/>
      <c r="J1" s="137" t="s">
        <v>376</v>
      </c>
      <c r="K1" s="3"/>
      <c r="L1" s="341"/>
      <c r="M1" s="341"/>
    </row>
    <row r="2" spans="1:13" s="342" customFormat="1" ht="15" customHeight="1">
      <c r="A2" s="340"/>
      <c r="B2" s="1"/>
      <c r="C2" s="2"/>
      <c r="D2" s="2"/>
      <c r="E2" s="2"/>
      <c r="F2" s="3"/>
      <c r="G2" s="3"/>
      <c r="H2" s="3"/>
      <c r="I2" s="902" t="s">
        <v>27</v>
      </c>
      <c r="J2" s="902"/>
      <c r="K2" s="902"/>
      <c r="L2" s="341"/>
      <c r="M2" s="341"/>
    </row>
    <row r="3" spans="1:13" s="342" customFormat="1" ht="18" thickBot="1">
      <c r="A3" s="33"/>
      <c r="B3" s="24" t="s">
        <v>28</v>
      </c>
      <c r="C3" s="349"/>
      <c r="D3" s="7"/>
      <c r="E3" s="7"/>
      <c r="F3" s="7"/>
      <c r="G3" s="8"/>
      <c r="H3" s="8"/>
      <c r="I3" s="341"/>
      <c r="J3" s="341"/>
      <c r="K3" s="341"/>
      <c r="L3" s="341"/>
      <c r="M3" s="341"/>
    </row>
    <row r="4" s="33" customFormat="1" ht="13.5"/>
    <row r="5" spans="1:17" s="50" customFormat="1" ht="16.5">
      <c r="A5" s="912" t="s">
        <v>75</v>
      </c>
      <c r="B5" s="912"/>
      <c r="C5" s="912"/>
      <c r="D5" s="912"/>
      <c r="E5" s="912"/>
      <c r="F5" s="912"/>
      <c r="G5" s="912"/>
      <c r="H5" s="912"/>
      <c r="I5" s="912"/>
      <c r="J5" s="912"/>
      <c r="K5" s="912"/>
      <c r="L5" s="33"/>
      <c r="M5" s="33"/>
      <c r="N5" s="33"/>
      <c r="O5" s="33"/>
      <c r="P5" s="33"/>
      <c r="Q5" s="33"/>
    </row>
    <row r="6" spans="1:17" s="50" customFormat="1" ht="16.5">
      <c r="A6" s="913" t="s">
        <v>510</v>
      </c>
      <c r="B6" s="913"/>
      <c r="C6" s="913"/>
      <c r="D6" s="913"/>
      <c r="E6" s="913"/>
      <c r="F6" s="913"/>
      <c r="G6" s="913"/>
      <c r="H6" s="913"/>
      <c r="I6" s="913"/>
      <c r="J6" s="913"/>
      <c r="K6" s="913"/>
      <c r="L6" s="33"/>
      <c r="M6" s="33"/>
      <c r="N6" s="33"/>
      <c r="O6" s="33"/>
      <c r="P6" s="33"/>
      <c r="Q6" s="33"/>
    </row>
    <row r="7" s="33" customFormat="1" ht="13.5">
      <c r="K7" s="481" t="s">
        <v>356</v>
      </c>
    </row>
    <row r="8" spans="1:11" ht="25.5" customHeight="1">
      <c r="A8" s="916" t="s">
        <v>115</v>
      </c>
      <c r="B8" s="916" t="s">
        <v>114</v>
      </c>
      <c r="C8" s="918" t="s">
        <v>452</v>
      </c>
      <c r="D8" s="918"/>
      <c r="E8" s="918"/>
      <c r="F8" s="918"/>
      <c r="G8" s="918"/>
      <c r="H8" s="918" t="s">
        <v>451</v>
      </c>
      <c r="I8" s="918"/>
      <c r="J8" s="914" t="s">
        <v>113</v>
      </c>
      <c r="K8" s="915"/>
    </row>
    <row r="9" spans="1:11" ht="79.5" customHeight="1" thickBot="1">
      <c r="A9" s="917"/>
      <c r="B9" s="917"/>
      <c r="C9" s="75" t="s">
        <v>116</v>
      </c>
      <c r="D9" s="26" t="s">
        <v>117</v>
      </c>
      <c r="E9" s="26" t="s">
        <v>118</v>
      </c>
      <c r="F9" s="75" t="s">
        <v>119</v>
      </c>
      <c r="G9" s="75" t="s">
        <v>120</v>
      </c>
      <c r="H9" s="75" t="s">
        <v>116</v>
      </c>
      <c r="I9" s="75" t="s">
        <v>120</v>
      </c>
      <c r="J9" s="75" t="s">
        <v>121</v>
      </c>
      <c r="K9" s="75" t="s">
        <v>122</v>
      </c>
    </row>
    <row r="10" spans="1:12" ht="14.25" thickBot="1">
      <c r="A10" s="101">
        <v>1</v>
      </c>
      <c r="B10" s="102">
        <f>A10+1</f>
        <v>2</v>
      </c>
      <c r="C10" s="102">
        <f>B10+1</f>
        <v>3</v>
      </c>
      <c r="D10" s="102">
        <f aca="true" t="shared" si="0" ref="D10:K10">C10+1</f>
        <v>4</v>
      </c>
      <c r="E10" s="102">
        <f t="shared" si="0"/>
        <v>5</v>
      </c>
      <c r="F10" s="102">
        <f t="shared" si="0"/>
        <v>6</v>
      </c>
      <c r="G10" s="102">
        <f t="shared" si="0"/>
        <v>7</v>
      </c>
      <c r="H10" s="102">
        <f t="shared" si="0"/>
        <v>8</v>
      </c>
      <c r="I10" s="102">
        <f t="shared" si="0"/>
        <v>9</v>
      </c>
      <c r="J10" s="102">
        <f t="shared" si="0"/>
        <v>10</v>
      </c>
      <c r="K10" s="102">
        <f t="shared" si="0"/>
        <v>11</v>
      </c>
      <c r="L10" s="103"/>
    </row>
    <row r="11" spans="1:11" ht="14.25">
      <c r="A11" s="104"/>
      <c r="B11" s="105" t="s">
        <v>110</v>
      </c>
      <c r="C11" s="76">
        <f>SUM(C13:C15)</f>
        <v>0</v>
      </c>
      <c r="D11" s="76">
        <f aca="true" t="shared" si="1" ref="D11:K11">SUM(D13:D15)</f>
        <v>0</v>
      </c>
      <c r="E11" s="76">
        <f t="shared" si="1"/>
        <v>0</v>
      </c>
      <c r="F11" s="76">
        <f t="shared" si="1"/>
        <v>0</v>
      </c>
      <c r="G11" s="76">
        <f t="shared" si="1"/>
        <v>0</v>
      </c>
      <c r="H11" s="76">
        <f t="shared" si="1"/>
        <v>0</v>
      </c>
      <c r="I11" s="76">
        <f t="shared" si="1"/>
        <v>0</v>
      </c>
      <c r="J11" s="76">
        <f t="shared" si="1"/>
        <v>0</v>
      </c>
      <c r="K11" s="76">
        <f t="shared" si="1"/>
        <v>0</v>
      </c>
    </row>
    <row r="12" spans="1:11" ht="13.5">
      <c r="A12" s="104"/>
      <c r="B12" s="106" t="s">
        <v>123</v>
      </c>
      <c r="C12" s="76"/>
      <c r="D12" s="76"/>
      <c r="E12" s="76"/>
      <c r="F12" s="76"/>
      <c r="G12" s="76"/>
      <c r="H12" s="76"/>
      <c r="I12" s="76"/>
      <c r="J12" s="76"/>
      <c r="K12" s="76"/>
    </row>
    <row r="13" spans="1:11" ht="13.5">
      <c r="A13" s="104">
        <v>1</v>
      </c>
      <c r="B13" s="104"/>
      <c r="C13" s="76">
        <v>0</v>
      </c>
      <c r="D13" s="76">
        <v>0</v>
      </c>
      <c r="E13" s="76">
        <v>0</v>
      </c>
      <c r="F13" s="82">
        <f>E13*D13</f>
        <v>0</v>
      </c>
      <c r="G13" s="82">
        <f>F13*C13</f>
        <v>0</v>
      </c>
      <c r="H13" s="76"/>
      <c r="I13" s="76"/>
      <c r="J13" s="76">
        <f>C13-H13</f>
        <v>0</v>
      </c>
      <c r="K13" s="76">
        <f>G13-I13</f>
        <v>0</v>
      </c>
    </row>
    <row r="14" spans="1:11" ht="13.5">
      <c r="A14" s="104">
        <v>2</v>
      </c>
      <c r="B14" s="104"/>
      <c r="C14" s="76">
        <v>0</v>
      </c>
      <c r="D14" s="76">
        <v>0</v>
      </c>
      <c r="E14" s="76">
        <v>0</v>
      </c>
      <c r="F14" s="82">
        <f>E14*D14</f>
        <v>0</v>
      </c>
      <c r="G14" s="82">
        <f>F14*C14</f>
        <v>0</v>
      </c>
      <c r="H14" s="76"/>
      <c r="I14" s="76"/>
      <c r="J14" s="76">
        <f>C14-H14</f>
        <v>0</v>
      </c>
      <c r="K14" s="76">
        <f>G14-I14</f>
        <v>0</v>
      </c>
    </row>
    <row r="15" spans="1:11" ht="13.5">
      <c r="A15" s="104">
        <v>3</v>
      </c>
      <c r="B15" s="104"/>
      <c r="C15" s="76">
        <v>0</v>
      </c>
      <c r="D15" s="76">
        <v>0</v>
      </c>
      <c r="E15" s="76">
        <v>0</v>
      </c>
      <c r="F15" s="82">
        <f>E15*D15</f>
        <v>0</v>
      </c>
      <c r="G15" s="82">
        <f>F15*C15</f>
        <v>0</v>
      </c>
      <c r="H15" s="76"/>
      <c r="I15" s="76"/>
      <c r="J15" s="76">
        <f>C15-H15</f>
        <v>0</v>
      </c>
      <c r="K15" s="76">
        <f>G15-I15</f>
        <v>0</v>
      </c>
    </row>
  </sheetData>
  <sheetProtection/>
  <mergeCells count="9">
    <mergeCell ref="B1:F1"/>
    <mergeCell ref="I2:K2"/>
    <mergeCell ref="A5:K5"/>
    <mergeCell ref="A6:K6"/>
    <mergeCell ref="J8:K8"/>
    <mergeCell ref="A8:A9"/>
    <mergeCell ref="B8:B9"/>
    <mergeCell ref="C8:G8"/>
    <mergeCell ref="H8:I8"/>
  </mergeCells>
  <printOptions/>
  <pageMargins left="0.25" right="0.33" top="0.7" bottom="1" header="0.5" footer="0.5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23"/>
  <sheetViews>
    <sheetView zoomScalePageLayoutView="0" workbookViewId="0" topLeftCell="A1">
      <selection activeCell="B4" sqref="B3:L4"/>
    </sheetView>
  </sheetViews>
  <sheetFormatPr defaultColWidth="9.140625" defaultRowHeight="12.75"/>
  <cols>
    <col min="1" max="1" width="4.28125" style="4" customWidth="1"/>
    <col min="2" max="2" width="23.8515625" style="100" customWidth="1"/>
    <col min="3" max="3" width="6.7109375" style="92" customWidth="1"/>
    <col min="4" max="4" width="8.8515625" style="92" bestFit="1" customWidth="1"/>
    <col min="5" max="8" width="9.8515625" style="92" customWidth="1"/>
    <col min="9" max="9" width="7.28125" style="4" customWidth="1"/>
    <col min="10" max="10" width="9.140625" style="5" customWidth="1"/>
    <col min="11" max="11" width="10.7109375" style="5" customWidth="1"/>
    <col min="12" max="12" width="9.00390625" style="5" bestFit="1" customWidth="1"/>
    <col min="13" max="16" width="9.140625" style="5" customWidth="1"/>
    <col min="17" max="17" width="6.7109375" style="5" bestFit="1" customWidth="1"/>
    <col min="18" max="19" width="9.140625" style="5" customWidth="1"/>
    <col min="20" max="20" width="10.57421875" style="5" customWidth="1"/>
    <col min="21" max="21" width="7.7109375" style="5" customWidth="1"/>
    <col min="22" max="22" width="6.7109375" style="5" bestFit="1" customWidth="1"/>
    <col min="23" max="23" width="11.421875" style="5" customWidth="1"/>
    <col min="24" max="16384" width="9.140625" style="5" customWidth="1"/>
  </cols>
  <sheetData>
    <row r="1" spans="1:19" s="33" customFormat="1" ht="23.25" customHeight="1">
      <c r="A1" s="340"/>
      <c r="B1" s="911"/>
      <c r="C1" s="924"/>
      <c r="D1" s="924"/>
      <c r="E1" s="924"/>
      <c r="F1" s="924"/>
      <c r="G1" s="3"/>
      <c r="H1" s="3"/>
      <c r="I1" s="32"/>
      <c r="J1" s="32"/>
      <c r="K1" s="32"/>
      <c r="L1" s="32"/>
      <c r="Q1" s="32"/>
      <c r="R1" s="137" t="s">
        <v>112</v>
      </c>
      <c r="S1" s="3"/>
    </row>
    <row r="2" spans="1:19" s="33" customFormat="1" ht="15" customHeight="1">
      <c r="A2" s="340"/>
      <c r="B2" s="1"/>
      <c r="C2" s="2"/>
      <c r="D2" s="2"/>
      <c r="E2" s="2"/>
      <c r="F2" s="3"/>
      <c r="G2" s="3"/>
      <c r="H2" s="3"/>
      <c r="I2" s="32"/>
      <c r="J2" s="32"/>
      <c r="K2" s="32"/>
      <c r="L2" s="32"/>
      <c r="Q2" s="902" t="s">
        <v>27</v>
      </c>
      <c r="R2" s="902"/>
      <c r="S2" s="902"/>
    </row>
    <row r="3" spans="2:12" s="33" customFormat="1" ht="18" thickBot="1">
      <c r="B3" s="24" t="s">
        <v>28</v>
      </c>
      <c r="C3" s="349"/>
      <c r="D3" s="7"/>
      <c r="E3" s="7"/>
      <c r="F3" s="7"/>
      <c r="G3" s="8"/>
      <c r="H3" s="8"/>
      <c r="I3" s="32"/>
      <c r="J3" s="32"/>
      <c r="K3" s="32"/>
      <c r="L3" s="32"/>
    </row>
    <row r="4" spans="1:19" s="33" customFormat="1" ht="12.75" customHeight="1">
      <c r="A4" s="340"/>
      <c r="B4" s="3"/>
      <c r="C4" s="3"/>
      <c r="D4" s="107"/>
      <c r="E4" s="107"/>
      <c r="F4" s="3"/>
      <c r="G4" s="3"/>
      <c r="H4" s="3"/>
      <c r="I4" s="9"/>
      <c r="J4" s="32"/>
      <c r="K4" s="32"/>
      <c r="L4" s="32"/>
      <c r="M4" s="32"/>
      <c r="Q4" s="32"/>
      <c r="R4" s="32"/>
      <c r="S4" s="32"/>
    </row>
    <row r="5" spans="1:19" s="50" customFormat="1" ht="12.75">
      <c r="A5" s="43"/>
      <c r="B5" s="44" t="s">
        <v>75</v>
      </c>
      <c r="C5" s="44"/>
      <c r="D5" s="44"/>
      <c r="E5" s="44"/>
      <c r="F5" s="44"/>
      <c r="G5" s="44"/>
      <c r="H5" s="44"/>
      <c r="I5" s="45"/>
      <c r="J5" s="45"/>
      <c r="K5" s="45"/>
      <c r="L5" s="45"/>
      <c r="M5" s="45"/>
      <c r="N5" s="45"/>
      <c r="O5" s="43"/>
      <c r="P5" s="47"/>
      <c r="Q5" s="43"/>
      <c r="R5" s="43"/>
      <c r="S5" s="43"/>
    </row>
    <row r="6" spans="1:19" s="50" customFormat="1" ht="12.75">
      <c r="A6" s="43"/>
      <c r="B6" s="44" t="s">
        <v>511</v>
      </c>
      <c r="C6" s="44"/>
      <c r="D6" s="44"/>
      <c r="E6" s="44"/>
      <c r="F6" s="44"/>
      <c r="G6" s="44"/>
      <c r="H6" s="44"/>
      <c r="I6" s="45"/>
      <c r="J6" s="45"/>
      <c r="K6" s="45"/>
      <c r="L6" s="45"/>
      <c r="M6" s="45"/>
      <c r="N6" s="45"/>
      <c r="O6" s="43"/>
      <c r="P6" s="43"/>
      <c r="Q6" s="43"/>
      <c r="R6" s="43"/>
      <c r="S6" s="43"/>
    </row>
    <row r="7" spans="1:19" s="50" customFormat="1" ht="9.75" customHeight="1">
      <c r="A7" s="43"/>
      <c r="B7" s="48"/>
      <c r="C7" s="48"/>
      <c r="D7" s="48"/>
      <c r="E7" s="48"/>
      <c r="F7" s="48"/>
      <c r="G7" s="48"/>
      <c r="H7" s="48"/>
      <c r="I7" s="43"/>
      <c r="J7" s="43"/>
      <c r="K7" s="43"/>
      <c r="L7" s="43"/>
      <c r="O7" s="43"/>
      <c r="P7" s="43"/>
      <c r="Q7" s="43"/>
      <c r="R7" s="43"/>
      <c r="S7" s="43"/>
    </row>
    <row r="8" spans="1:9" s="33" customFormat="1" ht="13.5">
      <c r="A8" s="32"/>
      <c r="B8" s="124"/>
      <c r="C8" s="107"/>
      <c r="D8" s="107"/>
      <c r="E8" s="107"/>
      <c r="F8" s="107"/>
      <c r="G8" s="107"/>
      <c r="H8" s="107"/>
      <c r="I8" s="32"/>
    </row>
    <row r="9" spans="1:23" s="42" customFormat="1" ht="20.25" customHeight="1">
      <c r="A9" s="919" t="s">
        <v>7</v>
      </c>
      <c r="B9" s="919" t="s">
        <v>126</v>
      </c>
      <c r="C9" s="919" t="s">
        <v>127</v>
      </c>
      <c r="D9" s="921" t="s">
        <v>76</v>
      </c>
      <c r="E9" s="922"/>
      <c r="F9" s="922"/>
      <c r="G9" s="923"/>
      <c r="H9" s="921" t="s">
        <v>125</v>
      </c>
      <c r="I9" s="922"/>
      <c r="J9" s="922"/>
      <c r="K9" s="922"/>
      <c r="L9" s="922"/>
      <c r="M9" s="923"/>
      <c r="N9" s="921" t="s">
        <v>133</v>
      </c>
      <c r="O9" s="922"/>
      <c r="P9" s="922"/>
      <c r="Q9" s="922"/>
      <c r="R9" s="923"/>
      <c r="S9" s="919" t="s">
        <v>315</v>
      </c>
      <c r="T9" s="919" t="s">
        <v>134</v>
      </c>
      <c r="U9" s="919" t="s">
        <v>135</v>
      </c>
      <c r="V9" s="919" t="s">
        <v>136</v>
      </c>
      <c r="W9" s="919" t="s">
        <v>316</v>
      </c>
    </row>
    <row r="10" spans="1:23" s="123" customFormat="1" ht="54.75" customHeight="1">
      <c r="A10" s="920"/>
      <c r="B10" s="920"/>
      <c r="C10" s="920"/>
      <c r="D10" s="121" t="s">
        <v>128</v>
      </c>
      <c r="E10" s="121" t="s">
        <v>129</v>
      </c>
      <c r="F10" s="121" t="s">
        <v>317</v>
      </c>
      <c r="G10" s="121" t="s">
        <v>318</v>
      </c>
      <c r="H10" s="121" t="s">
        <v>130</v>
      </c>
      <c r="I10" s="121" t="s">
        <v>319</v>
      </c>
      <c r="J10" s="121" t="s">
        <v>320</v>
      </c>
      <c r="K10" s="121" t="s">
        <v>321</v>
      </c>
      <c r="L10" s="121" t="s">
        <v>305</v>
      </c>
      <c r="M10" s="121" t="s">
        <v>322</v>
      </c>
      <c r="N10" s="121" t="s">
        <v>131</v>
      </c>
      <c r="O10" s="121" t="s">
        <v>132</v>
      </c>
      <c r="P10" s="121" t="s">
        <v>323</v>
      </c>
      <c r="Q10" s="122" t="s">
        <v>324</v>
      </c>
      <c r="R10" s="121" t="s">
        <v>325</v>
      </c>
      <c r="S10" s="920"/>
      <c r="T10" s="920"/>
      <c r="U10" s="920"/>
      <c r="V10" s="920"/>
      <c r="W10" s="920"/>
    </row>
    <row r="11" spans="1:23" s="42" customFormat="1" ht="13.5">
      <c r="A11" s="72" t="s">
        <v>326</v>
      </c>
      <c r="B11" s="72" t="s">
        <v>8</v>
      </c>
      <c r="C11" s="72" t="s">
        <v>9</v>
      </c>
      <c r="D11" s="72" t="s">
        <v>10</v>
      </c>
      <c r="E11" s="72" t="s">
        <v>11</v>
      </c>
      <c r="F11" s="72" t="s">
        <v>12</v>
      </c>
      <c r="G11" s="72" t="s">
        <v>13</v>
      </c>
      <c r="H11" s="72" t="s">
        <v>14</v>
      </c>
      <c r="I11" s="72" t="s">
        <v>2</v>
      </c>
      <c r="J11" s="72" t="s">
        <v>15</v>
      </c>
      <c r="K11" s="72" t="s">
        <v>16</v>
      </c>
      <c r="L11" s="72" t="s">
        <v>17</v>
      </c>
      <c r="M11" s="72" t="s">
        <v>327</v>
      </c>
      <c r="N11" s="72" t="s">
        <v>7</v>
      </c>
      <c r="O11" s="72" t="s">
        <v>18</v>
      </c>
      <c r="P11" s="72" t="s">
        <v>328</v>
      </c>
      <c r="Q11" s="72" t="s">
        <v>19</v>
      </c>
      <c r="R11" s="72" t="s">
        <v>20</v>
      </c>
      <c r="S11" s="72" t="s">
        <v>21</v>
      </c>
      <c r="T11" s="72" t="s">
        <v>22</v>
      </c>
      <c r="U11" s="72" t="s">
        <v>23</v>
      </c>
      <c r="V11" s="72" t="s">
        <v>24</v>
      </c>
      <c r="W11" s="72" t="s">
        <v>25</v>
      </c>
    </row>
    <row r="12" spans="1:23" s="42" customFormat="1" ht="13.5">
      <c r="A12" s="109">
        <v>1</v>
      </c>
      <c r="B12" s="109"/>
      <c r="C12" s="109"/>
      <c r="D12" s="109"/>
      <c r="E12" s="109"/>
      <c r="F12" s="109">
        <f>D12*E12</f>
        <v>0</v>
      </c>
      <c r="G12" s="109">
        <f>F12*12</f>
        <v>0</v>
      </c>
      <c r="H12" s="109"/>
      <c r="I12" s="110"/>
      <c r="J12" s="109"/>
      <c r="K12" s="109"/>
      <c r="L12" s="109">
        <f>K12</f>
        <v>0</v>
      </c>
      <c r="M12" s="109">
        <f>L12*12</f>
        <v>0</v>
      </c>
      <c r="N12" s="109"/>
      <c r="O12" s="109">
        <v>0</v>
      </c>
      <c r="P12" s="109">
        <f>(N12+O12)*1000*C12</f>
        <v>0</v>
      </c>
      <c r="Q12" s="109">
        <f>P12*20%</f>
        <v>0</v>
      </c>
      <c r="R12" s="109">
        <f>(P12+Q12)*12</f>
        <v>0</v>
      </c>
      <c r="S12" s="111">
        <f>G12+M12+R12</f>
        <v>0</v>
      </c>
      <c r="T12" s="112"/>
      <c r="U12" s="112"/>
      <c r="V12" s="113"/>
      <c r="W12" s="113"/>
    </row>
    <row r="13" spans="1:23" s="42" customFormat="1" ht="13.5">
      <c r="A13" s="109">
        <v>2</v>
      </c>
      <c r="B13" s="109"/>
      <c r="C13" s="109"/>
      <c r="D13" s="109"/>
      <c r="E13" s="109"/>
      <c r="F13" s="109">
        <f>D13*E13</f>
        <v>0</v>
      </c>
      <c r="G13" s="109">
        <f>F13*12</f>
        <v>0</v>
      </c>
      <c r="H13" s="109"/>
      <c r="I13" s="110"/>
      <c r="J13" s="109"/>
      <c r="K13" s="109"/>
      <c r="L13" s="109">
        <f>K13</f>
        <v>0</v>
      </c>
      <c r="M13" s="109">
        <f>L13*12</f>
        <v>0</v>
      </c>
      <c r="N13" s="109"/>
      <c r="O13" s="109">
        <v>0</v>
      </c>
      <c r="P13" s="109">
        <f>(N13+O13)*1000*C13</f>
        <v>0</v>
      </c>
      <c r="Q13" s="109">
        <f>P13*20%</f>
        <v>0</v>
      </c>
      <c r="R13" s="109">
        <f>(P13+Q13)*12</f>
        <v>0</v>
      </c>
      <c r="S13" s="111">
        <f>G13+M13+R13</f>
        <v>0</v>
      </c>
      <c r="T13" s="109"/>
      <c r="U13" s="109"/>
      <c r="V13" s="113"/>
      <c r="W13" s="113"/>
    </row>
    <row r="14" spans="1:23" s="42" customFormat="1" ht="13.5">
      <c r="A14" s="109">
        <v>3</v>
      </c>
      <c r="B14" s="109"/>
      <c r="C14" s="109"/>
      <c r="D14" s="109"/>
      <c r="E14" s="109"/>
      <c r="F14" s="109">
        <f>D14*E14</f>
        <v>0</v>
      </c>
      <c r="G14" s="109">
        <f>F14*12</f>
        <v>0</v>
      </c>
      <c r="H14" s="109"/>
      <c r="I14" s="110"/>
      <c r="J14" s="109"/>
      <c r="K14" s="109"/>
      <c r="L14" s="109">
        <f>K14</f>
        <v>0</v>
      </c>
      <c r="M14" s="109">
        <f>L14*12</f>
        <v>0</v>
      </c>
      <c r="N14" s="109"/>
      <c r="O14" s="109">
        <v>0</v>
      </c>
      <c r="P14" s="109">
        <f>(N14+O14)*1000*C14</f>
        <v>0</v>
      </c>
      <c r="Q14" s="109">
        <f>P14*20%</f>
        <v>0</v>
      </c>
      <c r="R14" s="109">
        <f>(P14+Q14)*12</f>
        <v>0</v>
      </c>
      <c r="S14" s="111">
        <f>G14+M14+R14</f>
        <v>0</v>
      </c>
      <c r="T14" s="109"/>
      <c r="U14" s="109"/>
      <c r="V14" s="113"/>
      <c r="W14" s="113"/>
    </row>
    <row r="15" spans="1:23" s="42" customFormat="1" ht="13.5">
      <c r="A15" s="109"/>
      <c r="B15" s="109"/>
      <c r="C15" s="109"/>
      <c r="D15" s="109"/>
      <c r="E15" s="109"/>
      <c r="F15" s="109"/>
      <c r="G15" s="109"/>
      <c r="H15" s="109"/>
      <c r="I15" s="110"/>
      <c r="J15" s="109"/>
      <c r="K15" s="109"/>
      <c r="L15" s="109"/>
      <c r="M15" s="109"/>
      <c r="N15" s="109"/>
      <c r="O15" s="109"/>
      <c r="P15" s="109"/>
      <c r="Q15" s="109"/>
      <c r="R15" s="109"/>
      <c r="S15" s="111"/>
      <c r="T15" s="109"/>
      <c r="U15" s="109"/>
      <c r="V15" s="113"/>
      <c r="W15" s="113"/>
    </row>
    <row r="16" spans="1:23" s="42" customFormat="1" ht="13.5">
      <c r="A16" s="109"/>
      <c r="B16" s="109"/>
      <c r="C16" s="109"/>
      <c r="D16" s="109"/>
      <c r="E16" s="109"/>
      <c r="F16" s="109"/>
      <c r="G16" s="109"/>
      <c r="H16" s="109"/>
      <c r="I16" s="110"/>
      <c r="J16" s="109"/>
      <c r="K16" s="109"/>
      <c r="L16" s="109"/>
      <c r="M16" s="109"/>
      <c r="N16" s="109"/>
      <c r="O16" s="109"/>
      <c r="P16" s="109"/>
      <c r="Q16" s="109"/>
      <c r="R16" s="109"/>
      <c r="S16" s="111"/>
      <c r="T16" s="109"/>
      <c r="U16" s="109"/>
      <c r="V16" s="113"/>
      <c r="W16" s="113"/>
    </row>
    <row r="17" spans="1:23" s="42" customFormat="1" ht="13.5">
      <c r="A17" s="109"/>
      <c r="B17" s="109"/>
      <c r="C17" s="114"/>
      <c r="D17" s="109"/>
      <c r="E17" s="109"/>
      <c r="F17" s="109"/>
      <c r="G17" s="109"/>
      <c r="H17" s="109"/>
      <c r="I17" s="110"/>
      <c r="J17" s="109"/>
      <c r="K17" s="109"/>
      <c r="L17" s="109"/>
      <c r="M17" s="109"/>
      <c r="N17" s="109"/>
      <c r="O17" s="109"/>
      <c r="P17" s="109"/>
      <c r="Q17" s="109"/>
      <c r="R17" s="109"/>
      <c r="S17" s="111"/>
      <c r="T17" s="109"/>
      <c r="U17" s="109"/>
      <c r="V17" s="113"/>
      <c r="W17" s="113"/>
    </row>
    <row r="18" spans="1:23" s="42" customFormat="1" ht="13.5">
      <c r="A18" s="109"/>
      <c r="B18" s="109"/>
      <c r="C18" s="109"/>
      <c r="D18" s="109"/>
      <c r="E18" s="109"/>
      <c r="F18" s="109"/>
      <c r="G18" s="109"/>
      <c r="H18" s="109"/>
      <c r="I18" s="110"/>
      <c r="J18" s="109"/>
      <c r="K18" s="109"/>
      <c r="L18" s="109"/>
      <c r="M18" s="109"/>
      <c r="N18" s="109"/>
      <c r="O18" s="109"/>
      <c r="P18" s="109"/>
      <c r="Q18" s="109"/>
      <c r="R18" s="109"/>
      <c r="S18" s="111"/>
      <c r="T18" s="109"/>
      <c r="U18" s="109"/>
      <c r="V18" s="113"/>
      <c r="W18" s="113"/>
    </row>
    <row r="19" spans="1:23" s="42" customFormat="1" ht="13.5">
      <c r="A19" s="109"/>
      <c r="B19" s="11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11"/>
      <c r="T19" s="109"/>
      <c r="U19" s="109"/>
      <c r="V19" s="113"/>
      <c r="W19" s="113"/>
    </row>
    <row r="20" spans="1:23" s="42" customFormat="1" ht="16.5">
      <c r="A20" s="115"/>
      <c r="B20" s="132" t="s">
        <v>110</v>
      </c>
      <c r="C20" s="116">
        <f>SUM(C12:C18)</f>
        <v>0</v>
      </c>
      <c r="D20" s="116">
        <f>SUM(D12:D19)</f>
        <v>0</v>
      </c>
      <c r="E20" s="115"/>
      <c r="F20" s="116">
        <f>SUM(F12:F19)</f>
        <v>0</v>
      </c>
      <c r="G20" s="116">
        <f>SUM(G12:G19)</f>
        <v>0</v>
      </c>
      <c r="H20" s="115"/>
      <c r="I20" s="115">
        <f>SUM(I12:I19)</f>
        <v>0</v>
      </c>
      <c r="J20" s="115"/>
      <c r="K20" s="117"/>
      <c r="L20" s="116">
        <f>SUM(L12:L19)</f>
        <v>0</v>
      </c>
      <c r="M20" s="116">
        <f>SUM(M12:M19)</f>
        <v>0</v>
      </c>
      <c r="N20" s="115"/>
      <c r="O20" s="115"/>
      <c r="P20" s="115"/>
      <c r="Q20" s="115"/>
      <c r="R20" s="115">
        <f>SUM(R12:R18)</f>
        <v>0</v>
      </c>
      <c r="S20" s="118">
        <f>(R20+M20+G20)/1000</f>
        <v>0</v>
      </c>
      <c r="T20" s="118">
        <f>SUM(T12:T18)</f>
        <v>0</v>
      </c>
      <c r="U20" s="118">
        <f>SUM(U12:U18)</f>
        <v>0</v>
      </c>
      <c r="V20" s="118">
        <f>SUM(V12:V18)</f>
        <v>0</v>
      </c>
      <c r="W20" s="118">
        <f>SUM(W12:W18)</f>
        <v>0</v>
      </c>
    </row>
    <row r="21" spans="7:18" ht="13.5">
      <c r="G21" s="92">
        <f>+G20/1000</f>
        <v>0</v>
      </c>
      <c r="R21" s="5">
        <f>+(M20+R20)/1000*0.3</f>
        <v>0</v>
      </c>
    </row>
    <row r="23" ht="67.5">
      <c r="B23" s="395" t="s">
        <v>312</v>
      </c>
    </row>
  </sheetData>
  <sheetProtection/>
  <mergeCells count="13">
    <mergeCell ref="T9:T10"/>
    <mergeCell ref="U9:U10"/>
    <mergeCell ref="V9:V10"/>
    <mergeCell ref="W9:W10"/>
    <mergeCell ref="B1:F1"/>
    <mergeCell ref="Q2:S2"/>
    <mergeCell ref="S9:S10"/>
    <mergeCell ref="A9:A10"/>
    <mergeCell ref="B9:B10"/>
    <mergeCell ref="C9:C10"/>
    <mergeCell ref="D9:G9"/>
    <mergeCell ref="H9:M9"/>
    <mergeCell ref="N9:R9"/>
  </mergeCells>
  <printOptions/>
  <pageMargins left="0.25" right="0.23" top="1" bottom="1" header="0.5" footer="0.5"/>
  <pageSetup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4"/>
  <sheetViews>
    <sheetView zoomScalePageLayoutView="0" workbookViewId="0" topLeftCell="A1">
      <selection activeCell="M10" sqref="M10"/>
    </sheetView>
  </sheetViews>
  <sheetFormatPr defaultColWidth="9.140625" defaultRowHeight="12.75"/>
  <cols>
    <col min="1" max="1" width="4.28125" style="4" customWidth="1"/>
    <col min="2" max="2" width="30.7109375" style="100" customWidth="1"/>
    <col min="3" max="3" width="8.28125" style="100" customWidth="1"/>
    <col min="4" max="5" width="10.00390625" style="100" customWidth="1"/>
    <col min="6" max="6" width="9.140625" style="92" customWidth="1"/>
    <col min="7" max="7" width="8.00390625" style="100" customWidth="1"/>
    <col min="8" max="8" width="11.8515625" style="92" customWidth="1"/>
    <col min="9" max="9" width="12.140625" style="4" customWidth="1"/>
    <col min="10" max="16384" width="9.140625" style="5" customWidth="1"/>
  </cols>
  <sheetData>
    <row r="1" spans="1:14" s="33" customFormat="1" ht="12.75">
      <c r="A1" s="340"/>
      <c r="B1" s="3"/>
      <c r="C1" s="3"/>
      <c r="D1" s="124"/>
      <c r="E1" s="124"/>
      <c r="F1" s="3"/>
      <c r="G1" s="3"/>
      <c r="H1" s="32"/>
      <c r="I1" s="137" t="s">
        <v>124</v>
      </c>
      <c r="J1" s="3"/>
      <c r="K1" s="32"/>
      <c r="L1" s="32"/>
      <c r="M1" s="32"/>
      <c r="N1" s="32"/>
    </row>
    <row r="2" spans="1:14" s="33" customFormat="1" ht="12.75" customHeight="1">
      <c r="A2" s="32"/>
      <c r="B2" s="3"/>
      <c r="C2" s="3"/>
      <c r="D2" s="124"/>
      <c r="E2" s="124"/>
      <c r="F2" s="3"/>
      <c r="G2" s="3"/>
      <c r="H2" s="902" t="s">
        <v>27</v>
      </c>
      <c r="I2" s="902"/>
      <c r="J2" s="902"/>
      <c r="K2" s="32"/>
      <c r="L2" s="32"/>
      <c r="M2" s="32"/>
      <c r="N2" s="32"/>
    </row>
    <row r="3" spans="2:7" s="33" customFormat="1" ht="95.25" customHeight="1" thickBot="1">
      <c r="B3" s="24" t="s">
        <v>28</v>
      </c>
      <c r="C3" s="925" t="s">
        <v>1145</v>
      </c>
      <c r="D3" s="925"/>
      <c r="E3" s="925"/>
      <c r="F3" s="925"/>
      <c r="G3" s="925"/>
    </row>
    <row r="4" spans="1:9" s="33" customFormat="1" ht="12.75">
      <c r="A4" s="32"/>
      <c r="B4" s="124"/>
      <c r="C4" s="124"/>
      <c r="D4" s="124"/>
      <c r="E4" s="3"/>
      <c r="F4" s="125"/>
      <c r="G4" s="126"/>
      <c r="H4" s="107"/>
      <c r="I4" s="34"/>
    </row>
    <row r="5" spans="1:9" s="33" customFormat="1" ht="12.75">
      <c r="A5" s="32"/>
      <c r="B5" s="44" t="s">
        <v>75</v>
      </c>
      <c r="C5" s="125"/>
      <c r="D5" s="125"/>
      <c r="E5" s="125"/>
      <c r="F5" s="125"/>
      <c r="G5" s="125"/>
      <c r="H5" s="125"/>
      <c r="I5" s="32"/>
    </row>
    <row r="6" spans="1:9" s="33" customFormat="1" ht="25.5">
      <c r="A6" s="32"/>
      <c r="B6" s="125" t="s">
        <v>512</v>
      </c>
      <c r="C6" s="125"/>
      <c r="D6" s="125"/>
      <c r="E6" s="125"/>
      <c r="F6" s="125"/>
      <c r="G6" s="125"/>
      <c r="H6" s="125"/>
      <c r="I6" s="32"/>
    </row>
    <row r="7" spans="1:9" s="33" customFormat="1" ht="12.75">
      <c r="A7" s="32"/>
      <c r="B7" s="124"/>
      <c r="C7" s="124"/>
      <c r="D7" s="124"/>
      <c r="E7" s="124"/>
      <c r="F7" s="107"/>
      <c r="G7" s="124"/>
      <c r="H7" s="107"/>
      <c r="I7" s="32"/>
    </row>
    <row r="8" spans="1:14" s="16" customFormat="1" ht="72">
      <c r="A8" s="127"/>
      <c r="B8" s="128"/>
      <c r="C8" s="65" t="s">
        <v>138</v>
      </c>
      <c r="D8" s="65" t="s">
        <v>139</v>
      </c>
      <c r="E8" s="65" t="s">
        <v>140</v>
      </c>
      <c r="F8" s="65" t="s">
        <v>141</v>
      </c>
      <c r="G8" s="64" t="s">
        <v>142</v>
      </c>
      <c r="H8" s="64" t="s">
        <v>143</v>
      </c>
      <c r="I8" s="129" t="s">
        <v>144</v>
      </c>
      <c r="N8" s="33"/>
    </row>
    <row r="9" spans="1:14" s="16" customFormat="1" ht="13.5">
      <c r="A9" s="78">
        <v>1</v>
      </c>
      <c r="B9" s="14">
        <v>2</v>
      </c>
      <c r="C9" s="14">
        <v>3</v>
      </c>
      <c r="D9" s="14">
        <v>4</v>
      </c>
      <c r="E9" s="14">
        <v>5</v>
      </c>
      <c r="F9" s="14">
        <v>6</v>
      </c>
      <c r="G9" s="14">
        <v>7</v>
      </c>
      <c r="H9" s="14">
        <v>8</v>
      </c>
      <c r="I9" s="78">
        <v>9</v>
      </c>
      <c r="N9" s="33"/>
    </row>
    <row r="10" spans="1:14" ht="67.5">
      <c r="A10" s="78">
        <v>1</v>
      </c>
      <c r="B10" s="75" t="s">
        <v>438</v>
      </c>
      <c r="C10" s="26" t="s">
        <v>1</v>
      </c>
      <c r="D10" s="26" t="s">
        <v>1</v>
      </c>
      <c r="E10" s="26" t="s">
        <v>1</v>
      </c>
      <c r="F10" s="12">
        <f>3080-550</f>
        <v>2530</v>
      </c>
      <c r="G10" s="26">
        <v>29.32</v>
      </c>
      <c r="H10" s="76">
        <f>F10*G10</f>
        <v>74179.6</v>
      </c>
      <c r="I10" s="516">
        <f>H10*0.05348</f>
        <v>3967.1250080000004</v>
      </c>
      <c r="N10" s="33"/>
    </row>
    <row r="11" spans="1:14" ht="67.5">
      <c r="A11" s="78">
        <v>2</v>
      </c>
      <c r="B11" s="75" t="s">
        <v>146</v>
      </c>
      <c r="C11" s="26" t="s">
        <v>1</v>
      </c>
      <c r="D11" s="26" t="s">
        <v>1</v>
      </c>
      <c r="E11" s="26" t="s">
        <v>1</v>
      </c>
      <c r="F11" s="12">
        <v>550</v>
      </c>
      <c r="G11" s="26">
        <v>21.4</v>
      </c>
      <c r="H11" s="76">
        <f>F11*G11</f>
        <v>11770</v>
      </c>
      <c r="I11" s="516">
        <f aca="true" t="shared" si="0" ref="I11:I18">H11*0.05348</f>
        <v>629.4596</v>
      </c>
      <c r="N11" s="33"/>
    </row>
    <row r="12" spans="1:9" ht="67.5">
      <c r="A12" s="78">
        <v>3</v>
      </c>
      <c r="B12" s="75" t="s">
        <v>147</v>
      </c>
      <c r="C12" s="835">
        <v>271</v>
      </c>
      <c r="D12" s="26" t="s">
        <v>1</v>
      </c>
      <c r="E12" s="26" t="s">
        <v>1</v>
      </c>
      <c r="F12" s="26" t="s">
        <v>1</v>
      </c>
      <c r="G12" s="26">
        <v>1100</v>
      </c>
      <c r="H12" s="130">
        <f>C12*G12</f>
        <v>298100</v>
      </c>
      <c r="I12" s="516">
        <f t="shared" si="0"/>
        <v>15942.388</v>
      </c>
    </row>
    <row r="13" spans="1:9" ht="40.5">
      <c r="A13" s="78">
        <v>4</v>
      </c>
      <c r="B13" s="75" t="s">
        <v>145</v>
      </c>
      <c r="C13" s="26"/>
      <c r="D13" s="130">
        <f>SUM(D15:D18)</f>
        <v>31</v>
      </c>
      <c r="E13" s="130">
        <f>SUM(E15:E18)</f>
        <v>10200</v>
      </c>
      <c r="F13" s="26" t="s">
        <v>1</v>
      </c>
      <c r="G13" s="26" t="s">
        <v>1</v>
      </c>
      <c r="H13" s="130">
        <f>SUM(H15:H18)</f>
        <v>120360</v>
      </c>
      <c r="I13" s="130">
        <f>SUM(I15:I18)</f>
        <v>6436.852800000001</v>
      </c>
    </row>
    <row r="14" spans="1:9" ht="21" customHeight="1">
      <c r="A14" s="78"/>
      <c r="B14" s="75" t="s">
        <v>148</v>
      </c>
      <c r="C14" s="26"/>
      <c r="D14" s="26"/>
      <c r="E14" s="26"/>
      <c r="F14" s="26"/>
      <c r="G14" s="26"/>
      <c r="H14" s="130"/>
      <c r="I14" s="516">
        <f t="shared" si="0"/>
        <v>0</v>
      </c>
    </row>
    <row r="15" spans="1:9" ht="21" customHeight="1">
      <c r="A15" s="78">
        <v>4.1</v>
      </c>
      <c r="B15" s="75" t="s">
        <v>615</v>
      </c>
      <c r="C15" s="26" t="s">
        <v>1</v>
      </c>
      <c r="D15" s="26">
        <v>13</v>
      </c>
      <c r="E15" s="26">
        <v>4080</v>
      </c>
      <c r="F15" s="26" t="s">
        <v>1</v>
      </c>
      <c r="G15" s="26" t="s">
        <v>1</v>
      </c>
      <c r="H15" s="130">
        <f>D15*E15</f>
        <v>53040</v>
      </c>
      <c r="I15" s="516">
        <f t="shared" si="0"/>
        <v>2836.5792</v>
      </c>
    </row>
    <row r="16" spans="1:9" ht="21" customHeight="1">
      <c r="A16" s="78">
        <v>4.2</v>
      </c>
      <c r="B16" s="75" t="s">
        <v>616</v>
      </c>
      <c r="C16" s="26" t="s">
        <v>1</v>
      </c>
      <c r="D16" s="26">
        <v>3</v>
      </c>
      <c r="E16" s="26">
        <v>2040</v>
      </c>
      <c r="F16" s="26" t="s">
        <v>1</v>
      </c>
      <c r="G16" s="26" t="s">
        <v>1</v>
      </c>
      <c r="H16" s="130">
        <f>D16*E16</f>
        <v>6120</v>
      </c>
      <c r="I16" s="516">
        <f t="shared" si="0"/>
        <v>327.2976</v>
      </c>
    </row>
    <row r="17" spans="1:9" ht="18" customHeight="1">
      <c r="A17" s="78">
        <v>4.3</v>
      </c>
      <c r="B17" s="75" t="s">
        <v>617</v>
      </c>
      <c r="C17" s="26" t="s">
        <v>1</v>
      </c>
      <c r="D17" s="26">
        <v>15</v>
      </c>
      <c r="E17" s="26">
        <v>4080</v>
      </c>
      <c r="F17" s="26" t="s">
        <v>1</v>
      </c>
      <c r="G17" s="26" t="s">
        <v>1</v>
      </c>
      <c r="H17" s="130">
        <f>D17*E17</f>
        <v>61200</v>
      </c>
      <c r="I17" s="516">
        <f t="shared" si="0"/>
        <v>3272.976</v>
      </c>
    </row>
    <row r="18" spans="1:9" ht="18" customHeight="1">
      <c r="A18" s="78">
        <v>4.4</v>
      </c>
      <c r="B18" s="75"/>
      <c r="C18" s="26" t="s">
        <v>1</v>
      </c>
      <c r="D18" s="26"/>
      <c r="E18" s="26"/>
      <c r="F18" s="26" t="s">
        <v>1</v>
      </c>
      <c r="G18" s="26" t="s">
        <v>1</v>
      </c>
      <c r="H18" s="130">
        <f>D18*E18</f>
        <v>0</v>
      </c>
      <c r="I18" s="516">
        <f t="shared" si="0"/>
        <v>0</v>
      </c>
    </row>
    <row r="19" spans="1:9" ht="27" customHeight="1">
      <c r="A19" s="131"/>
      <c r="B19" s="132" t="s">
        <v>110</v>
      </c>
      <c r="C19" s="132"/>
      <c r="D19" s="133" t="s">
        <v>1</v>
      </c>
      <c r="E19" s="133" t="s">
        <v>1</v>
      </c>
      <c r="F19" s="133" t="s">
        <v>1</v>
      </c>
      <c r="G19" s="133" t="s">
        <v>1</v>
      </c>
      <c r="H19" s="134">
        <f>SUM(H10:H13)</f>
        <v>504409.6</v>
      </c>
      <c r="I19" s="134">
        <f>SUM(I10:I13)*0.65</f>
        <v>17534.2865152</v>
      </c>
    </row>
    <row r="22" spans="2:9" ht="16.5">
      <c r="B22" s="135"/>
      <c r="C22" s="136"/>
      <c r="D22" s="136"/>
      <c r="E22" s="136"/>
      <c r="F22" s="94"/>
      <c r="G22" s="136"/>
      <c r="H22" s="94"/>
      <c r="I22" s="748">
        <f>I19+'8-էլ-էներգիա-ջեռուցում'!H51</f>
        <v>32334.280747999997</v>
      </c>
    </row>
    <row r="23" ht="13.5">
      <c r="I23" s="748">
        <f>'9-գազով ջեռուցում'!M15</f>
        <v>2538.0299259000003</v>
      </c>
    </row>
    <row r="24" ht="14.25">
      <c r="I24" s="749">
        <f>SUM(I22:I23)</f>
        <v>34872.3106739</v>
      </c>
    </row>
  </sheetData>
  <sheetProtection/>
  <mergeCells count="2">
    <mergeCell ref="H2:J2"/>
    <mergeCell ref="C3:G3"/>
  </mergeCells>
  <printOptions/>
  <pageMargins left="0.21" right="0.17" top="1" bottom="1" header="0.5" footer="0.5"/>
  <pageSetup horizontalDpi="600" verticalDpi="600" orientation="portrait" paperSize="9" scale="95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N51"/>
  <sheetViews>
    <sheetView zoomScalePageLayoutView="0" workbookViewId="0" topLeftCell="A1">
      <selection activeCell="E3" sqref="E3:G3"/>
    </sheetView>
  </sheetViews>
  <sheetFormatPr defaultColWidth="9.140625" defaultRowHeight="12.75"/>
  <cols>
    <col min="1" max="1" width="4.28125" style="4" customWidth="1"/>
    <col min="2" max="2" width="17.8515625" style="100" customWidth="1"/>
    <col min="3" max="3" width="12.57421875" style="92" customWidth="1"/>
    <col min="4" max="4" width="17.7109375" style="100" customWidth="1"/>
    <col min="5" max="5" width="16.140625" style="100" customWidth="1"/>
    <col min="6" max="6" width="16.28125" style="92" customWidth="1"/>
    <col min="7" max="7" width="14.00390625" style="4" customWidth="1"/>
    <col min="8" max="8" width="15.140625" style="4" customWidth="1"/>
    <col min="9" max="16384" width="9.140625" style="5" customWidth="1"/>
  </cols>
  <sheetData>
    <row r="1" spans="1:14" s="33" customFormat="1" ht="13.5">
      <c r="A1" s="340"/>
      <c r="B1" s="3"/>
      <c r="C1" s="3"/>
      <c r="D1" s="124"/>
      <c r="E1" s="124"/>
      <c r="F1" s="902"/>
      <c r="G1" s="902"/>
      <c r="H1" s="32"/>
      <c r="I1" s="137" t="s">
        <v>137</v>
      </c>
      <c r="J1" s="3"/>
      <c r="K1" s="32"/>
      <c r="L1" s="32"/>
      <c r="M1" s="32"/>
      <c r="N1" s="32"/>
    </row>
    <row r="2" spans="1:14" s="33" customFormat="1" ht="13.5">
      <c r="A2" s="340"/>
      <c r="B2" s="3"/>
      <c r="C2" s="3"/>
      <c r="D2" s="124"/>
      <c r="E2" s="124"/>
      <c r="F2" s="902"/>
      <c r="G2" s="902"/>
      <c r="H2" s="902" t="s">
        <v>27</v>
      </c>
      <c r="I2" s="902"/>
      <c r="J2" s="902"/>
      <c r="K2" s="32"/>
      <c r="L2" s="32"/>
      <c r="M2" s="32"/>
      <c r="N2" s="32"/>
    </row>
    <row r="3" spans="2:7" s="33" customFormat="1" ht="27.75" customHeight="1" thickBot="1">
      <c r="B3" s="926" t="s">
        <v>28</v>
      </c>
      <c r="C3" s="926"/>
      <c r="D3" s="7"/>
      <c r="E3" s="927" t="s">
        <v>1145</v>
      </c>
      <c r="F3" s="927"/>
      <c r="G3" s="927"/>
    </row>
    <row r="4" spans="1:8" s="33" customFormat="1" ht="14.25">
      <c r="A4" s="32"/>
      <c r="B4" s="124"/>
      <c r="C4" s="107"/>
      <c r="D4" s="3"/>
      <c r="E4" s="3"/>
      <c r="F4" s="125"/>
      <c r="G4" s="138"/>
      <c r="H4" s="34"/>
    </row>
    <row r="5" spans="1:8" s="33" customFormat="1" ht="13.5">
      <c r="A5" s="32"/>
      <c r="B5" s="44" t="s">
        <v>75</v>
      </c>
      <c r="C5" s="125"/>
      <c r="D5" s="125"/>
      <c r="E5" s="125"/>
      <c r="F5" s="125"/>
      <c r="G5" s="138"/>
      <c r="H5" s="32"/>
    </row>
    <row r="6" spans="1:8" s="33" customFormat="1" ht="27">
      <c r="A6" s="32"/>
      <c r="B6" s="125" t="s">
        <v>513</v>
      </c>
      <c r="C6" s="125"/>
      <c r="D6" s="125"/>
      <c r="E6" s="125"/>
      <c r="F6" s="125"/>
      <c r="G6" s="138"/>
      <c r="H6" s="32"/>
    </row>
    <row r="7" spans="1:7" ht="13.5">
      <c r="A7" s="32"/>
      <c r="B7" s="124"/>
      <c r="C7" s="107"/>
      <c r="D7" s="124"/>
      <c r="E7" s="124"/>
      <c r="F7" s="107"/>
      <c r="G7" s="32"/>
    </row>
    <row r="8" spans="1:8" s="16" customFormat="1" ht="63" customHeight="1">
      <c r="A8" s="127" t="s">
        <v>111</v>
      </c>
      <c r="B8" s="65" t="s">
        <v>150</v>
      </c>
      <c r="C8" s="65" t="s">
        <v>151</v>
      </c>
      <c r="D8" s="14" t="s">
        <v>152</v>
      </c>
      <c r="E8" s="14" t="s">
        <v>153</v>
      </c>
      <c r="F8" s="64" t="s">
        <v>378</v>
      </c>
      <c r="G8" s="64" t="s">
        <v>377</v>
      </c>
      <c r="H8" s="129" t="s">
        <v>155</v>
      </c>
    </row>
    <row r="9" spans="1:8" s="16" customFormat="1" ht="18" customHeight="1">
      <c r="A9" s="78">
        <v>1</v>
      </c>
      <c r="B9" s="14">
        <v>2</v>
      </c>
      <c r="C9" s="14">
        <v>3</v>
      </c>
      <c r="D9" s="14">
        <v>4</v>
      </c>
      <c r="E9" s="14">
        <v>5</v>
      </c>
      <c r="F9" s="14">
        <v>6</v>
      </c>
      <c r="G9" s="78">
        <v>7</v>
      </c>
      <c r="H9" s="78">
        <v>8</v>
      </c>
    </row>
    <row r="10" spans="1:8" s="16" customFormat="1" ht="18" customHeight="1">
      <c r="A10" s="78"/>
      <c r="B10" s="121" t="s">
        <v>663</v>
      </c>
      <c r="C10" s="65" t="s">
        <v>154</v>
      </c>
      <c r="D10" s="14"/>
      <c r="E10" s="14">
        <v>220</v>
      </c>
      <c r="F10" s="14">
        <v>40.8</v>
      </c>
      <c r="G10" s="80">
        <f>E10*F10</f>
        <v>8976</v>
      </c>
      <c r="H10" s="516">
        <f>G10*0.05348</f>
        <v>480.03648</v>
      </c>
    </row>
    <row r="11" spans="1:8" s="16" customFormat="1" ht="24.75" customHeight="1">
      <c r="A11" s="131">
        <v>1</v>
      </c>
      <c r="B11" s="746" t="s">
        <v>620</v>
      </c>
      <c r="C11" s="65" t="s">
        <v>154</v>
      </c>
      <c r="D11" s="14"/>
      <c r="E11" s="529">
        <v>105</v>
      </c>
      <c r="F11" s="14">
        <v>65.5</v>
      </c>
      <c r="G11" s="80">
        <f>E11*F11</f>
        <v>6877.5</v>
      </c>
      <c r="H11" s="516">
        <f>G11*0.05348</f>
        <v>367.8087</v>
      </c>
    </row>
    <row r="12" spans="1:8" s="16" customFormat="1" ht="30.75" customHeight="1">
      <c r="A12" s="78">
        <v>2</v>
      </c>
      <c r="B12" s="746" t="s">
        <v>621</v>
      </c>
      <c r="C12" s="14" t="s">
        <v>622</v>
      </c>
      <c r="D12" s="14"/>
      <c r="E12" s="529">
        <v>78</v>
      </c>
      <c r="F12" s="14">
        <v>74.7</v>
      </c>
      <c r="G12" s="80">
        <f aca="true" t="shared" si="0" ref="G12:G50">E12*F12</f>
        <v>5826.6</v>
      </c>
      <c r="H12" s="516">
        <f>G12*0.05348</f>
        <v>311.60656800000004</v>
      </c>
    </row>
    <row r="13" spans="1:8" ht="21.75" customHeight="1">
      <c r="A13" s="139">
        <v>3</v>
      </c>
      <c r="B13" s="746" t="s">
        <v>623</v>
      </c>
      <c r="C13" s="65" t="s">
        <v>154</v>
      </c>
      <c r="D13" s="26"/>
      <c r="E13" s="529">
        <v>156</v>
      </c>
      <c r="F13" s="747">
        <v>41.1</v>
      </c>
      <c r="G13" s="80">
        <f t="shared" si="0"/>
        <v>6411.6</v>
      </c>
      <c r="H13" s="516">
        <f>G13*0.05348</f>
        <v>342.89236800000003</v>
      </c>
    </row>
    <row r="14" spans="1:8" ht="21.75" customHeight="1">
      <c r="A14" s="139">
        <v>4</v>
      </c>
      <c r="B14" s="746" t="s">
        <v>624</v>
      </c>
      <c r="C14" s="65" t="s">
        <v>154</v>
      </c>
      <c r="D14" s="26"/>
      <c r="E14" s="529">
        <v>78</v>
      </c>
      <c r="F14" s="14">
        <v>73.5</v>
      </c>
      <c r="G14" s="80">
        <f t="shared" si="0"/>
        <v>5733</v>
      </c>
      <c r="H14" s="516">
        <f aca="true" t="shared" si="1" ref="H14:H50">G14*0.05348</f>
        <v>306.60084</v>
      </c>
    </row>
    <row r="15" spans="1:8" ht="21.75" customHeight="1">
      <c r="A15" s="139">
        <v>5</v>
      </c>
      <c r="B15" s="746" t="s">
        <v>625</v>
      </c>
      <c r="C15" s="65" t="s">
        <v>154</v>
      </c>
      <c r="D15" s="26"/>
      <c r="E15" s="529">
        <v>72</v>
      </c>
      <c r="F15" s="747">
        <v>73.5</v>
      </c>
      <c r="G15" s="80">
        <f t="shared" si="0"/>
        <v>5292</v>
      </c>
      <c r="H15" s="516">
        <f t="shared" si="1"/>
        <v>283.01616</v>
      </c>
    </row>
    <row r="16" spans="1:8" ht="21.75" customHeight="1">
      <c r="A16" s="139">
        <v>6</v>
      </c>
      <c r="B16" s="746" t="s">
        <v>626</v>
      </c>
      <c r="C16" s="65" t="s">
        <v>154</v>
      </c>
      <c r="D16" s="26"/>
      <c r="E16" s="529">
        <v>114</v>
      </c>
      <c r="F16" s="14">
        <v>41.1</v>
      </c>
      <c r="G16" s="80">
        <f t="shared" si="0"/>
        <v>4685.400000000001</v>
      </c>
      <c r="H16" s="516">
        <f t="shared" si="1"/>
        <v>250.57519200000002</v>
      </c>
    </row>
    <row r="17" spans="1:8" ht="21.75" customHeight="1">
      <c r="A17" s="139">
        <v>7</v>
      </c>
      <c r="B17" s="746" t="s">
        <v>627</v>
      </c>
      <c r="C17" s="65" t="s">
        <v>154</v>
      </c>
      <c r="D17" s="26"/>
      <c r="E17" s="529">
        <v>96</v>
      </c>
      <c r="F17" s="14">
        <v>65.5</v>
      </c>
      <c r="G17" s="80">
        <f t="shared" si="0"/>
        <v>6288</v>
      </c>
      <c r="H17" s="516">
        <f t="shared" si="1"/>
        <v>336.28224</v>
      </c>
    </row>
    <row r="18" spans="1:8" ht="21.75" customHeight="1">
      <c r="A18" s="139">
        <v>8</v>
      </c>
      <c r="B18" s="746" t="s">
        <v>628</v>
      </c>
      <c r="C18" s="65" t="s">
        <v>154</v>
      </c>
      <c r="D18" s="26"/>
      <c r="E18" s="529">
        <v>126</v>
      </c>
      <c r="F18" s="14">
        <v>41.1</v>
      </c>
      <c r="G18" s="80">
        <f t="shared" si="0"/>
        <v>5178.6</v>
      </c>
      <c r="H18" s="516">
        <f t="shared" si="1"/>
        <v>276.951528</v>
      </c>
    </row>
    <row r="19" spans="1:8" ht="21.75" customHeight="1">
      <c r="A19" s="139">
        <v>9</v>
      </c>
      <c r="B19" s="746" t="s">
        <v>629</v>
      </c>
      <c r="C19" s="65" t="s">
        <v>154</v>
      </c>
      <c r="D19" s="26"/>
      <c r="E19" s="529">
        <v>198</v>
      </c>
      <c r="F19" s="14">
        <v>41.1</v>
      </c>
      <c r="G19" s="80">
        <f t="shared" si="0"/>
        <v>8137.8</v>
      </c>
      <c r="H19" s="516">
        <f t="shared" si="1"/>
        <v>435.209544</v>
      </c>
    </row>
    <row r="20" spans="1:8" ht="21.75" customHeight="1">
      <c r="A20" s="139">
        <v>10</v>
      </c>
      <c r="B20" s="746" t="s">
        <v>630</v>
      </c>
      <c r="C20" s="65" t="s">
        <v>154</v>
      </c>
      <c r="D20" s="26"/>
      <c r="E20" s="529">
        <v>90</v>
      </c>
      <c r="F20" s="14">
        <v>65.5</v>
      </c>
      <c r="G20" s="80">
        <f t="shared" si="0"/>
        <v>5895</v>
      </c>
      <c r="H20" s="516">
        <f t="shared" si="1"/>
        <v>315.2646</v>
      </c>
    </row>
    <row r="21" spans="1:8" ht="21.75" customHeight="1">
      <c r="A21" s="139">
        <v>11</v>
      </c>
      <c r="B21" s="746" t="s">
        <v>631</v>
      </c>
      <c r="C21" s="65" t="s">
        <v>154</v>
      </c>
      <c r="D21" s="26"/>
      <c r="E21" s="529">
        <v>84</v>
      </c>
      <c r="F21" s="14">
        <v>73.5</v>
      </c>
      <c r="G21" s="80">
        <f t="shared" si="0"/>
        <v>6174</v>
      </c>
      <c r="H21" s="516">
        <f t="shared" si="1"/>
        <v>330.18552</v>
      </c>
    </row>
    <row r="22" spans="1:8" ht="21.75" customHeight="1">
      <c r="A22" s="139">
        <v>12</v>
      </c>
      <c r="B22" s="746" t="s">
        <v>632</v>
      </c>
      <c r="C22" s="65" t="s">
        <v>154</v>
      </c>
      <c r="D22" s="26"/>
      <c r="E22" s="529">
        <v>261</v>
      </c>
      <c r="F22" s="14">
        <v>41.1</v>
      </c>
      <c r="G22" s="80">
        <f t="shared" si="0"/>
        <v>10727.1</v>
      </c>
      <c r="H22" s="516">
        <f t="shared" si="1"/>
        <v>573.685308</v>
      </c>
    </row>
    <row r="23" spans="1:8" ht="21.75" customHeight="1">
      <c r="A23" s="139">
        <v>13</v>
      </c>
      <c r="B23" s="746" t="s">
        <v>633</v>
      </c>
      <c r="C23" s="65" t="s">
        <v>154</v>
      </c>
      <c r="D23" s="26"/>
      <c r="E23" s="529">
        <v>260</v>
      </c>
      <c r="F23" s="14">
        <v>65.5</v>
      </c>
      <c r="G23" s="80">
        <f t="shared" si="0"/>
        <v>17030</v>
      </c>
      <c r="H23" s="516">
        <f t="shared" si="1"/>
        <v>910.7644</v>
      </c>
    </row>
    <row r="24" spans="1:8" ht="21.75" customHeight="1">
      <c r="A24" s="139">
        <v>14</v>
      </c>
      <c r="B24" s="746" t="s">
        <v>634</v>
      </c>
      <c r="C24" s="65" t="s">
        <v>154</v>
      </c>
      <c r="D24" s="26"/>
      <c r="E24" s="529">
        <v>221.4</v>
      </c>
      <c r="F24" s="14">
        <v>49.6</v>
      </c>
      <c r="G24" s="80">
        <f t="shared" si="0"/>
        <v>10981.44</v>
      </c>
      <c r="H24" s="516">
        <f t="shared" si="1"/>
        <v>587.2874112000001</v>
      </c>
    </row>
    <row r="25" spans="1:8" ht="21.75" customHeight="1">
      <c r="A25" s="139">
        <v>0.15</v>
      </c>
      <c r="B25" s="746" t="s">
        <v>635</v>
      </c>
      <c r="C25" s="65" t="s">
        <v>154</v>
      </c>
      <c r="D25" s="26"/>
      <c r="E25" s="529">
        <v>72</v>
      </c>
      <c r="F25" s="14">
        <v>56.7</v>
      </c>
      <c r="G25" s="80">
        <f t="shared" si="0"/>
        <v>4082.4</v>
      </c>
      <c r="H25" s="516">
        <f t="shared" si="1"/>
        <v>218.326752</v>
      </c>
    </row>
    <row r="26" spans="1:8" ht="21.75" customHeight="1">
      <c r="A26" s="139">
        <v>16</v>
      </c>
      <c r="B26" s="746" t="s">
        <v>636</v>
      </c>
      <c r="C26" s="65" t="s">
        <v>154</v>
      </c>
      <c r="D26" s="26"/>
      <c r="E26" s="529">
        <v>78</v>
      </c>
      <c r="F26" s="14">
        <v>49.6</v>
      </c>
      <c r="G26" s="80">
        <f t="shared" si="0"/>
        <v>3868.8</v>
      </c>
      <c r="H26" s="516">
        <f t="shared" si="1"/>
        <v>206.903424</v>
      </c>
    </row>
    <row r="27" spans="1:8" ht="21.75" customHeight="1">
      <c r="A27" s="139">
        <v>17</v>
      </c>
      <c r="B27" s="746" t="s">
        <v>637</v>
      </c>
      <c r="C27" s="65" t="s">
        <v>154</v>
      </c>
      <c r="D27" s="26"/>
      <c r="E27" s="529">
        <v>90</v>
      </c>
      <c r="F27" s="14">
        <v>41.1</v>
      </c>
      <c r="G27" s="80">
        <f t="shared" si="0"/>
        <v>3699</v>
      </c>
      <c r="H27" s="516">
        <f t="shared" si="1"/>
        <v>197.82252</v>
      </c>
    </row>
    <row r="28" spans="1:8" ht="21.75" customHeight="1">
      <c r="A28" s="139">
        <v>18</v>
      </c>
      <c r="B28" s="746" t="s">
        <v>638</v>
      </c>
      <c r="C28" s="65" t="s">
        <v>154</v>
      </c>
      <c r="D28" s="26"/>
      <c r="E28" s="529">
        <v>124.2</v>
      </c>
      <c r="F28" s="14">
        <v>41.1</v>
      </c>
      <c r="G28" s="80">
        <f t="shared" si="0"/>
        <v>5104.62</v>
      </c>
      <c r="H28" s="516">
        <f t="shared" si="1"/>
        <v>272.9950776</v>
      </c>
    </row>
    <row r="29" spans="1:8" ht="21.75" customHeight="1">
      <c r="A29" s="139">
        <v>19</v>
      </c>
      <c r="B29" s="746" t="s">
        <v>639</v>
      </c>
      <c r="C29" s="65" t="s">
        <v>154</v>
      </c>
      <c r="D29" s="26"/>
      <c r="E29" s="529">
        <v>96</v>
      </c>
      <c r="F29" s="14">
        <v>56.7</v>
      </c>
      <c r="G29" s="80">
        <f t="shared" si="0"/>
        <v>5443.200000000001</v>
      </c>
      <c r="H29" s="516">
        <f t="shared" si="1"/>
        <v>291.10233600000004</v>
      </c>
    </row>
    <row r="30" spans="1:8" ht="21.75" customHeight="1">
      <c r="A30" s="139">
        <v>20</v>
      </c>
      <c r="B30" s="746" t="s">
        <v>640</v>
      </c>
      <c r="C30" s="14" t="s">
        <v>622</v>
      </c>
      <c r="D30" s="26"/>
      <c r="E30" s="529">
        <v>85.5</v>
      </c>
      <c r="F30" s="14">
        <v>56.6</v>
      </c>
      <c r="G30" s="80">
        <f t="shared" si="0"/>
        <v>4839.3</v>
      </c>
      <c r="H30" s="516">
        <f t="shared" si="1"/>
        <v>258.805764</v>
      </c>
    </row>
    <row r="31" spans="1:8" ht="21.75" customHeight="1">
      <c r="A31" s="139">
        <v>21</v>
      </c>
      <c r="B31" s="746" t="s">
        <v>641</v>
      </c>
      <c r="C31" s="65" t="s">
        <v>154</v>
      </c>
      <c r="D31" s="26"/>
      <c r="E31" s="529">
        <v>138</v>
      </c>
      <c r="F31" s="14">
        <v>37.6</v>
      </c>
      <c r="G31" s="80">
        <f t="shared" si="0"/>
        <v>5188.8</v>
      </c>
      <c r="H31" s="516">
        <f t="shared" si="1"/>
        <v>277.497024</v>
      </c>
    </row>
    <row r="32" spans="1:8" ht="21.75" customHeight="1">
      <c r="A32" s="139">
        <v>22</v>
      </c>
      <c r="B32" s="746" t="s">
        <v>642</v>
      </c>
      <c r="C32" s="65" t="s">
        <v>154</v>
      </c>
      <c r="D32" s="26"/>
      <c r="E32" s="529">
        <v>162</v>
      </c>
      <c r="F32" s="14">
        <v>73.5</v>
      </c>
      <c r="G32" s="80">
        <f t="shared" si="0"/>
        <v>11907</v>
      </c>
      <c r="H32" s="516">
        <f t="shared" si="1"/>
        <v>636.78636</v>
      </c>
    </row>
    <row r="33" spans="1:8" ht="21.75" customHeight="1">
      <c r="A33" s="139">
        <v>23</v>
      </c>
      <c r="B33" s="746" t="s">
        <v>643</v>
      </c>
      <c r="C33" s="65" t="s">
        <v>154</v>
      </c>
      <c r="D33" s="26"/>
      <c r="E33" s="529">
        <v>156</v>
      </c>
      <c r="F33" s="14">
        <v>37.6</v>
      </c>
      <c r="G33" s="80">
        <f t="shared" si="0"/>
        <v>5865.6</v>
      </c>
      <c r="H33" s="516">
        <f t="shared" si="1"/>
        <v>313.692288</v>
      </c>
    </row>
    <row r="34" spans="1:8" ht="21.75" customHeight="1">
      <c r="A34" s="139">
        <v>24</v>
      </c>
      <c r="B34" s="746" t="s">
        <v>644</v>
      </c>
      <c r="C34" s="65" t="s">
        <v>154</v>
      </c>
      <c r="D34" s="26"/>
      <c r="E34" s="529">
        <v>180</v>
      </c>
      <c r="F34" s="14">
        <v>49.6</v>
      </c>
      <c r="G34" s="80">
        <f t="shared" si="0"/>
        <v>8928</v>
      </c>
      <c r="H34" s="516">
        <f t="shared" si="1"/>
        <v>477.46944</v>
      </c>
    </row>
    <row r="35" spans="1:8" ht="21.75" customHeight="1">
      <c r="A35" s="139">
        <v>25</v>
      </c>
      <c r="B35" s="746" t="s">
        <v>645</v>
      </c>
      <c r="C35" s="65" t="s">
        <v>154</v>
      </c>
      <c r="D35" s="26"/>
      <c r="E35" s="529">
        <v>90</v>
      </c>
      <c r="F35" s="14">
        <v>56.7</v>
      </c>
      <c r="G35" s="80">
        <f t="shared" si="0"/>
        <v>5103</v>
      </c>
      <c r="H35" s="516">
        <f t="shared" si="1"/>
        <v>272.90844</v>
      </c>
    </row>
    <row r="36" spans="1:8" ht="21.75" customHeight="1">
      <c r="A36" s="139">
        <v>26</v>
      </c>
      <c r="B36" s="746" t="s">
        <v>646</v>
      </c>
      <c r="C36" s="65" t="s">
        <v>154</v>
      </c>
      <c r="D36" s="26"/>
      <c r="E36" s="529">
        <v>117</v>
      </c>
      <c r="F36" s="14">
        <v>65.5</v>
      </c>
      <c r="G36" s="80">
        <f t="shared" si="0"/>
        <v>7663.5</v>
      </c>
      <c r="H36" s="516">
        <f t="shared" si="1"/>
        <v>409.84398</v>
      </c>
    </row>
    <row r="37" spans="1:8" ht="21.75" customHeight="1">
      <c r="A37" s="139">
        <v>27</v>
      </c>
      <c r="B37" s="746" t="s">
        <v>647</v>
      </c>
      <c r="C37" s="65" t="s">
        <v>154</v>
      </c>
      <c r="D37" s="26"/>
      <c r="E37" s="529">
        <v>144</v>
      </c>
      <c r="F37" s="14">
        <v>41.1</v>
      </c>
      <c r="G37" s="80">
        <f t="shared" si="0"/>
        <v>5918.400000000001</v>
      </c>
      <c r="H37" s="516">
        <f t="shared" si="1"/>
        <v>316.51603200000005</v>
      </c>
    </row>
    <row r="38" spans="1:8" ht="21.75" customHeight="1">
      <c r="A38" s="139">
        <v>28</v>
      </c>
      <c r="B38" s="746" t="s">
        <v>648</v>
      </c>
      <c r="C38" s="65" t="s">
        <v>154</v>
      </c>
      <c r="D38" s="26"/>
      <c r="E38" s="529">
        <v>150</v>
      </c>
      <c r="F38" s="14">
        <v>65.5</v>
      </c>
      <c r="G38" s="80">
        <f t="shared" si="0"/>
        <v>9825</v>
      </c>
      <c r="H38" s="516">
        <f t="shared" si="1"/>
        <v>525.441</v>
      </c>
    </row>
    <row r="39" spans="1:8" ht="21.75" customHeight="1">
      <c r="A39" s="139">
        <v>29</v>
      </c>
      <c r="B39" s="746" t="s">
        <v>649</v>
      </c>
      <c r="C39" s="65" t="s">
        <v>154</v>
      </c>
      <c r="D39" s="26"/>
      <c r="E39" s="529">
        <v>111</v>
      </c>
      <c r="F39" s="14">
        <v>28</v>
      </c>
      <c r="G39" s="80">
        <f t="shared" si="0"/>
        <v>3108</v>
      </c>
      <c r="H39" s="516">
        <f t="shared" si="1"/>
        <v>166.21584</v>
      </c>
    </row>
    <row r="40" spans="1:8" ht="21.75" customHeight="1">
      <c r="A40" s="139">
        <v>30</v>
      </c>
      <c r="B40" s="746" t="s">
        <v>650</v>
      </c>
      <c r="C40" s="65" t="s">
        <v>154</v>
      </c>
      <c r="D40" s="26"/>
      <c r="E40" s="529">
        <v>144</v>
      </c>
      <c r="F40" s="14">
        <v>49.6</v>
      </c>
      <c r="G40" s="80">
        <f t="shared" si="0"/>
        <v>7142.400000000001</v>
      </c>
      <c r="H40" s="516">
        <f t="shared" si="1"/>
        <v>381.97555200000005</v>
      </c>
    </row>
    <row r="41" spans="1:8" ht="21.75" customHeight="1">
      <c r="A41" s="139">
        <v>31</v>
      </c>
      <c r="B41" s="746" t="s">
        <v>651</v>
      </c>
      <c r="C41" s="65" t="s">
        <v>154</v>
      </c>
      <c r="D41" s="26"/>
      <c r="E41" s="529">
        <v>128</v>
      </c>
      <c r="F41" s="14">
        <v>73.5</v>
      </c>
      <c r="G41" s="80">
        <f t="shared" si="0"/>
        <v>9408</v>
      </c>
      <c r="H41" s="516">
        <f t="shared" si="1"/>
        <v>503.13984</v>
      </c>
    </row>
    <row r="42" spans="1:8" ht="21.75" customHeight="1">
      <c r="A42" s="139">
        <v>32</v>
      </c>
      <c r="B42" s="746" t="s">
        <v>652</v>
      </c>
      <c r="C42" s="65" t="s">
        <v>154</v>
      </c>
      <c r="D42" s="26"/>
      <c r="E42" s="529">
        <v>120</v>
      </c>
      <c r="F42" s="14">
        <v>56.7</v>
      </c>
      <c r="G42" s="80">
        <f t="shared" si="0"/>
        <v>6804</v>
      </c>
      <c r="H42" s="516">
        <f t="shared" si="1"/>
        <v>363.87792</v>
      </c>
    </row>
    <row r="43" spans="1:8" ht="21.75" customHeight="1">
      <c r="A43" s="139">
        <v>33</v>
      </c>
      <c r="B43" s="746" t="s">
        <v>653</v>
      </c>
      <c r="C43" s="65" t="s">
        <v>154</v>
      </c>
      <c r="D43" s="26"/>
      <c r="E43" s="529">
        <v>90</v>
      </c>
      <c r="F43" s="14">
        <v>56.7</v>
      </c>
      <c r="G43" s="80">
        <f t="shared" si="0"/>
        <v>5103</v>
      </c>
      <c r="H43" s="516">
        <f t="shared" si="1"/>
        <v>272.90844</v>
      </c>
    </row>
    <row r="44" spans="1:8" ht="21.75" customHeight="1">
      <c r="A44" s="139">
        <v>34</v>
      </c>
      <c r="B44" s="746" t="s">
        <v>654</v>
      </c>
      <c r="C44" s="14" t="s">
        <v>622</v>
      </c>
      <c r="D44" s="26"/>
      <c r="E44" s="529">
        <v>75</v>
      </c>
      <c r="F44" s="14">
        <v>56.7</v>
      </c>
      <c r="G44" s="80">
        <f t="shared" si="0"/>
        <v>4252.5</v>
      </c>
      <c r="H44" s="516">
        <f t="shared" si="1"/>
        <v>227.4237</v>
      </c>
    </row>
    <row r="45" spans="1:8" ht="21.75" customHeight="1">
      <c r="A45" s="139">
        <v>35</v>
      </c>
      <c r="B45" s="746" t="s">
        <v>655</v>
      </c>
      <c r="C45" s="65" t="s">
        <v>154</v>
      </c>
      <c r="D45" s="26"/>
      <c r="E45" s="529">
        <v>84</v>
      </c>
      <c r="F45" s="14">
        <v>41.1</v>
      </c>
      <c r="G45" s="80">
        <f t="shared" si="0"/>
        <v>3452.4</v>
      </c>
      <c r="H45" s="516">
        <f t="shared" si="1"/>
        <v>184.634352</v>
      </c>
    </row>
    <row r="46" spans="1:8" ht="30.75" customHeight="1">
      <c r="A46" s="139">
        <v>36</v>
      </c>
      <c r="B46" s="746" t="s">
        <v>656</v>
      </c>
      <c r="C46" s="65" t="s">
        <v>154</v>
      </c>
      <c r="D46" s="26"/>
      <c r="E46" s="529">
        <v>219</v>
      </c>
      <c r="F46" s="14">
        <v>56.7</v>
      </c>
      <c r="G46" s="80">
        <f t="shared" si="0"/>
        <v>12417.300000000001</v>
      </c>
      <c r="H46" s="516">
        <f t="shared" si="1"/>
        <v>664.077204</v>
      </c>
    </row>
    <row r="47" spans="1:8" ht="21.75" customHeight="1">
      <c r="A47" s="139">
        <v>39</v>
      </c>
      <c r="B47" s="746" t="s">
        <v>657</v>
      </c>
      <c r="C47" s="65" t="s">
        <v>154</v>
      </c>
      <c r="D47" s="26"/>
      <c r="E47" s="529">
        <v>162</v>
      </c>
      <c r="F47" s="14">
        <v>37.6</v>
      </c>
      <c r="G47" s="80">
        <f t="shared" si="0"/>
        <v>6091.2</v>
      </c>
      <c r="H47" s="516">
        <f t="shared" si="1"/>
        <v>325.75737599999997</v>
      </c>
    </row>
    <row r="48" spans="1:8" ht="21.75" customHeight="1">
      <c r="A48" s="139">
        <v>40</v>
      </c>
      <c r="B48" s="746" t="s">
        <v>658</v>
      </c>
      <c r="C48" s="65" t="s">
        <v>154</v>
      </c>
      <c r="D48" s="26"/>
      <c r="E48" s="529">
        <v>126</v>
      </c>
      <c r="F48" s="14">
        <v>65.5</v>
      </c>
      <c r="G48" s="80">
        <f t="shared" si="0"/>
        <v>8253</v>
      </c>
      <c r="H48" s="516">
        <f t="shared" si="1"/>
        <v>441.37044</v>
      </c>
    </row>
    <row r="49" spans="1:8" ht="21.75" customHeight="1">
      <c r="A49" s="139">
        <v>41</v>
      </c>
      <c r="B49" s="746" t="s">
        <v>659</v>
      </c>
      <c r="C49" s="65" t="s">
        <v>154</v>
      </c>
      <c r="D49" s="26"/>
      <c r="E49" s="529">
        <v>108</v>
      </c>
      <c r="F49" s="14">
        <v>56.7</v>
      </c>
      <c r="G49" s="80">
        <f t="shared" si="0"/>
        <v>6123.6</v>
      </c>
      <c r="H49" s="516">
        <f t="shared" si="1"/>
        <v>327.490128</v>
      </c>
    </row>
    <row r="50" spans="1:8" ht="21.75" customHeight="1">
      <c r="A50" s="139">
        <v>42</v>
      </c>
      <c r="B50" s="746" t="s">
        <v>660</v>
      </c>
      <c r="C50" s="65" t="s">
        <v>154</v>
      </c>
      <c r="D50" s="26"/>
      <c r="E50" s="529">
        <v>78</v>
      </c>
      <c r="F50" s="14">
        <v>37.6</v>
      </c>
      <c r="G50" s="80">
        <f t="shared" si="0"/>
        <v>2932.8</v>
      </c>
      <c r="H50" s="516">
        <f t="shared" si="1"/>
        <v>156.846144</v>
      </c>
    </row>
    <row r="51" spans="1:8" ht="33.75" customHeight="1">
      <c r="A51" s="139"/>
      <c r="B51" s="132" t="s">
        <v>110</v>
      </c>
      <c r="C51" s="133" t="s">
        <v>1</v>
      </c>
      <c r="D51" s="133" t="s">
        <v>1</v>
      </c>
      <c r="E51" s="133" t="s">
        <v>1</v>
      </c>
      <c r="F51" s="133" t="s">
        <v>1</v>
      </c>
      <c r="G51" s="140">
        <f>SUM(G11:G50)</f>
        <v>267762.8599999999</v>
      </c>
      <c r="H51" s="140">
        <f>SUM(H10:H50)</f>
        <v>14799.994232799996</v>
      </c>
    </row>
  </sheetData>
  <sheetProtection/>
  <mergeCells count="5">
    <mergeCell ref="B3:C3"/>
    <mergeCell ref="F1:G1"/>
    <mergeCell ref="F2:G2"/>
    <mergeCell ref="H2:J2"/>
    <mergeCell ref="E3:G3"/>
  </mergeCells>
  <printOptions/>
  <pageMargins left="0.46" right="0.23" top="0.61" bottom="1" header="0.29" footer="0.5"/>
  <pageSetup horizontalDpi="600" verticalDpi="6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1"/>
  <sheetViews>
    <sheetView zoomScalePageLayoutView="0" workbookViewId="0" topLeftCell="A1">
      <selection activeCell="F3" sqref="F3:I3"/>
    </sheetView>
  </sheetViews>
  <sheetFormatPr defaultColWidth="9.140625" defaultRowHeight="12.75"/>
  <cols>
    <col min="1" max="1" width="4.28125" style="4" customWidth="1"/>
    <col min="2" max="2" width="17.00390625" style="100" customWidth="1"/>
    <col min="3" max="3" width="10.7109375" style="92" bestFit="1" customWidth="1"/>
    <col min="4" max="4" width="10.7109375" style="100" bestFit="1" customWidth="1"/>
    <col min="5" max="5" width="11.140625" style="100" bestFit="1" customWidth="1"/>
    <col min="6" max="7" width="11.8515625" style="92" customWidth="1"/>
    <col min="8" max="8" width="9.421875" style="92" bestFit="1" customWidth="1"/>
    <col min="9" max="9" width="12.8515625" style="92" customWidth="1"/>
    <col min="10" max="10" width="11.7109375" style="92" bestFit="1" customWidth="1"/>
    <col min="11" max="11" width="8.8515625" style="4" bestFit="1" customWidth="1"/>
    <col min="12" max="12" width="9.8515625" style="4" customWidth="1"/>
    <col min="13" max="13" width="12.00390625" style="5" bestFit="1" customWidth="1"/>
    <col min="14" max="16384" width="9.140625" style="5" customWidth="1"/>
  </cols>
  <sheetData>
    <row r="1" spans="1:14" s="33" customFormat="1" ht="13.5">
      <c r="A1" s="340"/>
      <c r="B1" s="3"/>
      <c r="C1" s="3"/>
      <c r="D1" s="124"/>
      <c r="E1" s="124"/>
      <c r="F1" s="3"/>
      <c r="G1" s="3"/>
      <c r="H1" s="902"/>
      <c r="I1" s="902"/>
      <c r="J1" s="32"/>
      <c r="K1" s="32"/>
      <c r="L1" s="137" t="s">
        <v>149</v>
      </c>
      <c r="M1" s="3"/>
      <c r="N1" s="32"/>
    </row>
    <row r="2" spans="1:14" s="33" customFormat="1" ht="12.75" customHeight="1">
      <c r="A2" s="340"/>
      <c r="B2" s="3"/>
      <c r="C2" s="3"/>
      <c r="D2" s="124"/>
      <c r="E2" s="124"/>
      <c r="F2" s="3"/>
      <c r="G2" s="3"/>
      <c r="H2" s="902"/>
      <c r="I2" s="902"/>
      <c r="J2" s="32"/>
      <c r="K2" s="902" t="s">
        <v>27</v>
      </c>
      <c r="L2" s="902"/>
      <c r="M2" s="902"/>
      <c r="N2" s="32"/>
    </row>
    <row r="3" spans="2:9" s="33" customFormat="1" ht="14.25" customHeight="1" thickBot="1">
      <c r="B3" s="926" t="s">
        <v>28</v>
      </c>
      <c r="C3" s="926"/>
      <c r="D3" s="7"/>
      <c r="E3" s="7"/>
      <c r="F3" s="928" t="s">
        <v>1145</v>
      </c>
      <c r="G3" s="928"/>
      <c r="H3" s="928"/>
      <c r="I3" s="928"/>
    </row>
    <row r="4" spans="1:10" s="33" customFormat="1" ht="23.25" customHeight="1">
      <c r="A4" s="32"/>
      <c r="B4" s="125" t="s">
        <v>75</v>
      </c>
      <c r="C4" s="125"/>
      <c r="D4" s="125"/>
      <c r="E4" s="125"/>
      <c r="F4" s="125"/>
      <c r="G4" s="125"/>
      <c r="H4" s="138"/>
      <c r="I4" s="138"/>
      <c r="J4" s="138"/>
    </row>
    <row r="5" spans="1:10" s="33" customFormat="1" ht="27">
      <c r="A5" s="32"/>
      <c r="B5" s="125" t="s">
        <v>514</v>
      </c>
      <c r="C5" s="125"/>
      <c r="D5" s="125"/>
      <c r="E5" s="125"/>
      <c r="F5" s="125"/>
      <c r="G5" s="125"/>
      <c r="H5" s="138"/>
      <c r="I5" s="138"/>
      <c r="J5" s="138"/>
    </row>
    <row r="6" spans="1:12" s="33" customFormat="1" ht="13.5">
      <c r="A6" s="32"/>
      <c r="B6" s="125"/>
      <c r="C6" s="125"/>
      <c r="D6" s="125"/>
      <c r="E6" s="125"/>
      <c r="F6" s="125"/>
      <c r="G6" s="125"/>
      <c r="H6" s="125"/>
      <c r="I6" s="125"/>
      <c r="J6" s="125"/>
      <c r="K6" s="32"/>
      <c r="L6" s="32"/>
    </row>
    <row r="7" spans="1:13" s="16" customFormat="1" ht="89.25">
      <c r="A7" s="127" t="s">
        <v>111</v>
      </c>
      <c r="B7" s="65" t="s">
        <v>150</v>
      </c>
      <c r="C7" s="65" t="s">
        <v>157</v>
      </c>
      <c r="D7" s="14" t="s">
        <v>158</v>
      </c>
      <c r="E7" s="14" t="s">
        <v>153</v>
      </c>
      <c r="F7" s="14" t="s">
        <v>159</v>
      </c>
      <c r="G7" s="64" t="s">
        <v>160</v>
      </c>
      <c r="H7" s="14" t="s">
        <v>161</v>
      </c>
      <c r="I7" s="14" t="s">
        <v>162</v>
      </c>
      <c r="J7" s="14" t="s">
        <v>163</v>
      </c>
      <c r="K7" s="64" t="s">
        <v>164</v>
      </c>
      <c r="L7" s="64" t="s">
        <v>165</v>
      </c>
      <c r="M7" s="129" t="s">
        <v>166</v>
      </c>
    </row>
    <row r="8" spans="1:13" s="16" customFormat="1" ht="18" customHeight="1">
      <c r="A8" s="78">
        <v>1</v>
      </c>
      <c r="B8" s="14">
        <v>2</v>
      </c>
      <c r="C8" s="14">
        <v>3</v>
      </c>
      <c r="D8" s="78">
        <v>4</v>
      </c>
      <c r="E8" s="14">
        <v>5</v>
      </c>
      <c r="F8" s="14">
        <v>6</v>
      </c>
      <c r="G8" s="78">
        <v>7</v>
      </c>
      <c r="H8" s="14">
        <v>8</v>
      </c>
      <c r="I8" s="14">
        <v>9</v>
      </c>
      <c r="J8" s="78">
        <v>10</v>
      </c>
      <c r="K8" s="14">
        <v>11</v>
      </c>
      <c r="L8" s="14">
        <v>12</v>
      </c>
      <c r="M8" s="78">
        <v>13</v>
      </c>
    </row>
    <row r="9" spans="1:13" s="16" customFormat="1" ht="38.25" customHeight="1">
      <c r="A9" s="142">
        <v>1</v>
      </c>
      <c r="B9" s="26" t="s">
        <v>673</v>
      </c>
      <c r="C9" s="143" t="s">
        <v>167</v>
      </c>
      <c r="D9" s="26" t="s">
        <v>672</v>
      </c>
      <c r="E9" s="26">
        <v>1080</v>
      </c>
      <c r="F9" s="26">
        <v>0.0356</v>
      </c>
      <c r="G9" s="130">
        <f aca="true" t="shared" si="0" ref="G9:G14">E9*F9</f>
        <v>38.448</v>
      </c>
      <c r="H9" s="144">
        <v>147</v>
      </c>
      <c r="I9" s="26" t="s">
        <v>1</v>
      </c>
      <c r="J9" s="26" t="s">
        <v>1</v>
      </c>
      <c r="K9" s="144">
        <f>G9*H9</f>
        <v>5651.856</v>
      </c>
      <c r="L9" s="514">
        <v>0.139</v>
      </c>
      <c r="M9" s="515">
        <f aca="true" t="shared" si="1" ref="M9:M14">K9*L9</f>
        <v>785.607984</v>
      </c>
    </row>
    <row r="10" spans="1:13" ht="27">
      <c r="A10" s="142"/>
      <c r="B10" s="745" t="s">
        <v>618</v>
      </c>
      <c r="C10" s="143" t="s">
        <v>167</v>
      </c>
      <c r="D10" s="26" t="s">
        <v>619</v>
      </c>
      <c r="E10" s="26">
        <v>3261</v>
      </c>
      <c r="F10" s="26">
        <v>0.0263</v>
      </c>
      <c r="G10" s="130">
        <f t="shared" si="0"/>
        <v>85.7643</v>
      </c>
      <c r="H10" s="144">
        <v>147</v>
      </c>
      <c r="I10" s="144" t="s">
        <v>1</v>
      </c>
      <c r="J10" s="26" t="s">
        <v>1</v>
      </c>
      <c r="K10" s="144">
        <f>G10*H10</f>
        <v>12607.3521</v>
      </c>
      <c r="L10" s="514">
        <v>0.139</v>
      </c>
      <c r="M10" s="515">
        <f t="shared" si="1"/>
        <v>1752.4219419</v>
      </c>
    </row>
    <row r="11" spans="1:13" ht="18" customHeight="1">
      <c r="A11" s="142">
        <v>2</v>
      </c>
      <c r="B11" s="75"/>
      <c r="C11" s="143" t="s">
        <v>154</v>
      </c>
      <c r="D11" s="26"/>
      <c r="E11" s="26"/>
      <c r="F11" s="26"/>
      <c r="G11" s="130">
        <f t="shared" si="0"/>
        <v>0</v>
      </c>
      <c r="H11" s="26" t="s">
        <v>1</v>
      </c>
      <c r="I11" s="144">
        <v>139</v>
      </c>
      <c r="J11" s="26" t="s">
        <v>1</v>
      </c>
      <c r="K11" s="144">
        <f>G11*I11</f>
        <v>0</v>
      </c>
      <c r="L11" s="514">
        <v>0.139</v>
      </c>
      <c r="M11" s="515">
        <f t="shared" si="1"/>
        <v>0</v>
      </c>
    </row>
    <row r="12" spans="1:13" ht="27">
      <c r="A12" s="142"/>
      <c r="B12" s="75"/>
      <c r="C12" s="143" t="s">
        <v>167</v>
      </c>
      <c r="D12" s="26"/>
      <c r="E12" s="26"/>
      <c r="F12" s="26"/>
      <c r="G12" s="130">
        <f t="shared" si="0"/>
        <v>0</v>
      </c>
      <c r="H12" s="26" t="s">
        <v>1</v>
      </c>
      <c r="I12" s="144">
        <v>139</v>
      </c>
      <c r="J12" s="26" t="s">
        <v>1</v>
      </c>
      <c r="K12" s="144">
        <f>G12*I12</f>
        <v>0</v>
      </c>
      <c r="L12" s="514">
        <v>0.139</v>
      </c>
      <c r="M12" s="515">
        <f t="shared" si="1"/>
        <v>0</v>
      </c>
    </row>
    <row r="13" spans="1:13" s="16" customFormat="1" ht="18" customHeight="1">
      <c r="A13" s="142">
        <v>3</v>
      </c>
      <c r="B13" s="26"/>
      <c r="C13" s="143" t="s">
        <v>154</v>
      </c>
      <c r="D13" s="26"/>
      <c r="E13" s="26"/>
      <c r="F13" s="26"/>
      <c r="G13" s="130">
        <f t="shared" si="0"/>
        <v>0</v>
      </c>
      <c r="H13" s="26" t="s">
        <v>1</v>
      </c>
      <c r="I13" s="26" t="s">
        <v>1</v>
      </c>
      <c r="J13" s="130">
        <v>110</v>
      </c>
      <c r="K13" s="144">
        <f>G13*J13</f>
        <v>0</v>
      </c>
      <c r="L13" s="514">
        <v>0.139</v>
      </c>
      <c r="M13" s="515">
        <f t="shared" si="1"/>
        <v>0</v>
      </c>
    </row>
    <row r="14" spans="1:13" ht="27">
      <c r="A14" s="142"/>
      <c r="B14" s="75"/>
      <c r="C14" s="143" t="s">
        <v>167</v>
      </c>
      <c r="D14" s="26"/>
      <c r="E14" s="26"/>
      <c r="F14" s="26"/>
      <c r="G14" s="130">
        <f t="shared" si="0"/>
        <v>0</v>
      </c>
      <c r="H14" s="144" t="s">
        <v>1</v>
      </c>
      <c r="I14" s="144" t="s">
        <v>1</v>
      </c>
      <c r="J14" s="144">
        <v>110</v>
      </c>
      <c r="K14" s="144">
        <f>G14*J14</f>
        <v>0</v>
      </c>
      <c r="L14" s="514">
        <v>0.139</v>
      </c>
      <c r="M14" s="515">
        <f t="shared" si="1"/>
        <v>0</v>
      </c>
    </row>
    <row r="15" spans="1:13" ht="22.5" customHeight="1">
      <c r="A15" s="145"/>
      <c r="B15" s="22" t="s">
        <v>110</v>
      </c>
      <c r="C15" s="133" t="s">
        <v>1</v>
      </c>
      <c r="D15" s="133" t="s">
        <v>1</v>
      </c>
      <c r="E15" s="133" t="s">
        <v>1</v>
      </c>
      <c r="F15" s="133" t="s">
        <v>1</v>
      </c>
      <c r="G15" s="133" t="s">
        <v>1</v>
      </c>
      <c r="H15" s="133" t="s">
        <v>1</v>
      </c>
      <c r="I15" s="133" t="s">
        <v>1</v>
      </c>
      <c r="J15" s="133" t="s">
        <v>1</v>
      </c>
      <c r="K15" s="133" t="s">
        <v>1</v>
      </c>
      <c r="L15" s="133" t="s">
        <v>1</v>
      </c>
      <c r="M15" s="140">
        <f>SUM(M9:M14)</f>
        <v>2538.0299259000003</v>
      </c>
    </row>
    <row r="16" spans="1:13" ht="27" customHeight="1">
      <c r="A16" s="146"/>
      <c r="B16" s="141"/>
      <c r="C16" s="147"/>
      <c r="D16" s="147"/>
      <c r="E16" s="147"/>
      <c r="F16" s="147"/>
      <c r="G16" s="147"/>
      <c r="H16" s="147"/>
      <c r="I16" s="147"/>
      <c r="J16" s="148"/>
      <c r="K16" s="148"/>
      <c r="L16" s="148"/>
      <c r="M16" s="149"/>
    </row>
    <row r="17" spans="1:13" ht="10.5" customHeight="1">
      <c r="A17" s="146"/>
      <c r="C17" s="141"/>
      <c r="D17" s="141"/>
      <c r="E17" s="141"/>
      <c r="F17" s="141"/>
      <c r="G17" s="141"/>
      <c r="H17" s="141"/>
      <c r="I17" s="141" t="s">
        <v>0</v>
      </c>
      <c r="J17" s="141"/>
      <c r="K17" s="141"/>
      <c r="L17" s="141"/>
      <c r="M17" s="150"/>
    </row>
    <row r="18" spans="1:13" ht="22.5" customHeight="1">
      <c r="A18" s="32"/>
      <c r="B18" s="151" t="s">
        <v>169</v>
      </c>
      <c r="C18" s="125"/>
      <c r="D18" s="126" t="s">
        <v>0</v>
      </c>
      <c r="E18" s="126"/>
      <c r="F18" s="125"/>
      <c r="G18" s="125"/>
      <c r="H18" s="125"/>
      <c r="I18" s="125"/>
      <c r="J18" s="125"/>
      <c r="K18" s="138"/>
      <c r="L18" s="138"/>
      <c r="M18" s="138"/>
    </row>
    <row r="19" spans="1:14" ht="28.5" customHeight="1">
      <c r="A19" s="32"/>
      <c r="B19" s="141" t="s">
        <v>198</v>
      </c>
      <c r="C19" s="125"/>
      <c r="D19" s="126"/>
      <c r="E19" s="126"/>
      <c r="F19" s="125"/>
      <c r="G19" s="125"/>
      <c r="H19" s="125"/>
      <c r="I19" s="125"/>
      <c r="J19" s="125"/>
      <c r="K19" s="138"/>
      <c r="L19" s="138"/>
      <c r="M19" s="138"/>
      <c r="N19" s="5" t="s">
        <v>0</v>
      </c>
    </row>
    <row r="20" spans="1:13" ht="13.5">
      <c r="A20" s="32"/>
      <c r="B20" s="141" t="s">
        <v>168</v>
      </c>
      <c r="C20" s="125"/>
      <c r="D20" s="126"/>
      <c r="E20" s="126"/>
      <c r="F20" s="125"/>
      <c r="G20" s="125"/>
      <c r="H20" s="125"/>
      <c r="I20" s="125"/>
      <c r="J20" s="125"/>
      <c r="K20" s="138" t="s">
        <v>0</v>
      </c>
      <c r="L20" s="138"/>
      <c r="M20" s="138"/>
    </row>
    <row r="21" spans="2:6" ht="13.5">
      <c r="B21" s="136"/>
      <c r="C21" s="94"/>
      <c r="D21" s="136"/>
      <c r="E21" s="136"/>
      <c r="F21" s="94"/>
    </row>
  </sheetData>
  <sheetProtection/>
  <mergeCells count="5">
    <mergeCell ref="B3:C3"/>
    <mergeCell ref="H1:I1"/>
    <mergeCell ref="H2:I2"/>
    <mergeCell ref="K2:M2"/>
    <mergeCell ref="F3:I3"/>
  </mergeCells>
  <printOptions/>
  <pageMargins left="0.19" right="0.17" top="0.42" bottom="0.53" header="0.2" footer="0.2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Marine Shishyan</dc:creator>
  <cp:keywords/>
  <dc:description/>
  <cp:lastModifiedBy>Zara Margaryan</cp:lastModifiedBy>
  <cp:lastPrinted>2022-03-02T12:48:10Z</cp:lastPrinted>
  <dcterms:created xsi:type="dcterms:W3CDTF">2003-05-20T07:22:10Z</dcterms:created>
  <dcterms:modified xsi:type="dcterms:W3CDTF">2022-03-22T12:04:04Z</dcterms:modified>
  <cp:category/>
  <cp:version/>
  <cp:contentType/>
  <cp:contentStatus/>
</cp:coreProperties>
</file>