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-Margaryan\Desktop\kayq\"/>
    </mc:Choice>
  </mc:AlternateContent>
  <bookViews>
    <workbookView xWindow="5985" yWindow="150" windowWidth="5970" windowHeight="6360" tabRatio="948"/>
  </bookViews>
  <sheets>
    <sheet name="0409canc" sheetId="5" r:id="rId1"/>
    <sheet name="krtutjunfinans" sheetId="8" r:id="rId2"/>
    <sheet name="krtatoshak" sheetId="6" r:id="rId3"/>
    <sheet name="yntaciktransfert" sheetId="7" r:id="rId4"/>
    <sheet name="hastiqacucak" sheetId="10" r:id="rId5"/>
    <sheet name="kencaxajin" sheetId="16" r:id="rId6"/>
    <sheet name="jur" sheetId="18" r:id="rId7"/>
    <sheet name="energia jerucum" sheetId="19" r:id="rId8"/>
    <sheet name="կապ" sheetId="25" r:id="rId9"/>
    <sheet name="grasenyakayin" sheetId="14" r:id="rId10"/>
    <sheet name="masnagitakan" sheetId="20" r:id="rId11"/>
    <sheet name="transp" sheetId="21" r:id="rId12"/>
    <sheet name="part. vcharner" sheetId="22" r:id="rId13"/>
    <sheet name="unkndirneri tiv" sheetId="26" r:id="rId14"/>
    <sheet name="տպագրական" sheetId="37" r:id="rId15"/>
  </sheets>
  <externalReferences>
    <externalReference r:id="rId16"/>
  </externalReferences>
  <definedNames>
    <definedName name="_xlnm._FilterDatabase" localSheetId="4" hidden="1">hastiqacucak!$A$5:$L$38</definedName>
  </definedNames>
  <calcPr calcId="162913"/>
</workbook>
</file>

<file path=xl/calcChain.xml><?xml version="1.0" encoding="utf-8"?>
<calcChain xmlns="http://schemas.openxmlformats.org/spreadsheetml/2006/main">
  <c r="D55" i="8" l="1"/>
  <c r="D37" i="8"/>
  <c r="D21" i="8"/>
  <c r="D31" i="8"/>
  <c r="D16" i="7"/>
  <c r="J16" i="7" l="1"/>
  <c r="I16" i="7"/>
  <c r="G16" i="7"/>
  <c r="H16" i="7" s="1"/>
  <c r="C16" i="7"/>
  <c r="G12" i="8"/>
  <c r="C22" i="8"/>
  <c r="E22" i="8" s="1"/>
  <c r="C35" i="8"/>
  <c r="C38" i="8"/>
  <c r="E11" i="19"/>
  <c r="H10" i="19"/>
  <c r="C27" i="8"/>
  <c r="C33" i="8" l="1"/>
  <c r="C39" i="8"/>
  <c r="C14" i="8"/>
  <c r="E14" i="8" s="1"/>
  <c r="C37" i="8"/>
  <c r="P32" i="25"/>
  <c r="C26" i="8"/>
  <c r="E26" i="8" s="1"/>
  <c r="C50" i="8"/>
  <c r="G24" i="5"/>
  <c r="G27" i="5"/>
  <c r="G30" i="5"/>
  <c r="H13" i="5"/>
  <c r="I13" i="5"/>
  <c r="J13" i="5"/>
  <c r="G13" i="5"/>
  <c r="D13" i="5"/>
  <c r="D27" i="5"/>
  <c r="D23" i="5"/>
  <c r="C23" i="5"/>
  <c r="C21" i="5"/>
  <c r="C27" i="5"/>
  <c r="C24" i="5"/>
  <c r="E15" i="8"/>
  <c r="F15" i="8"/>
  <c r="E18" i="8"/>
  <c r="E19" i="8"/>
  <c r="F19" i="8"/>
  <c r="E20" i="8"/>
  <c r="F20" i="8"/>
  <c r="E21" i="8"/>
  <c r="E23" i="8"/>
  <c r="E24" i="8"/>
  <c r="E25" i="8"/>
  <c r="E29" i="8"/>
  <c r="E30" i="8"/>
  <c r="E31" i="8"/>
  <c r="E32" i="8"/>
  <c r="E33" i="8"/>
  <c r="E34" i="8"/>
  <c r="E36" i="8"/>
  <c r="E37" i="8"/>
  <c r="E39" i="8"/>
  <c r="E40" i="8"/>
  <c r="F40" i="8"/>
  <c r="E41" i="8"/>
  <c r="F41" i="8"/>
  <c r="E42" i="8"/>
  <c r="E43" i="8"/>
  <c r="E44" i="8"/>
  <c r="F44" i="8"/>
  <c r="E45" i="8"/>
  <c r="F45" i="8"/>
  <c r="E47" i="8"/>
  <c r="F47" i="8"/>
  <c r="E48" i="8"/>
  <c r="F48" i="8"/>
  <c r="E49" i="8"/>
  <c r="F49" i="8"/>
  <c r="E51" i="8"/>
  <c r="E52" i="8"/>
  <c r="E53" i="8"/>
  <c r="E54" i="8"/>
  <c r="D50" i="8"/>
  <c r="H14" i="8"/>
  <c r="I14" i="8" s="1"/>
  <c r="J14" i="8" s="1"/>
  <c r="D30" i="5"/>
  <c r="C26" i="5"/>
  <c r="F38" i="16"/>
  <c r="J12" i="25"/>
  <c r="E18" i="25"/>
  <c r="K8" i="26"/>
  <c r="F9" i="16"/>
  <c r="E35" i="8"/>
  <c r="D28" i="8"/>
  <c r="E28" i="8" s="1"/>
  <c r="E37" i="10"/>
  <c r="A37" i="10"/>
  <c r="D36" i="10"/>
  <c r="E36" i="10" s="1"/>
  <c r="A36" i="10"/>
  <c r="E35" i="10"/>
  <c r="A35" i="10"/>
  <c r="E34" i="10"/>
  <c r="A34" i="10"/>
  <c r="D33" i="10"/>
  <c r="E33" i="10" s="1"/>
  <c r="A33" i="10"/>
  <c r="E32" i="10"/>
  <c r="A32" i="10"/>
  <c r="E31" i="10"/>
  <c r="A31" i="10"/>
  <c r="E30" i="10"/>
  <c r="A30" i="10"/>
  <c r="D29" i="10"/>
  <c r="E29" i="10" s="1"/>
  <c r="A29" i="10"/>
  <c r="E28" i="10"/>
  <c r="A28" i="10"/>
  <c r="E27" i="10"/>
  <c r="A27" i="10"/>
  <c r="E26" i="10"/>
  <c r="A26" i="10"/>
  <c r="E25" i="10"/>
  <c r="A25" i="10"/>
  <c r="E24" i="10"/>
  <c r="A24" i="10"/>
  <c r="E23" i="10"/>
  <c r="A23" i="10"/>
  <c r="D22" i="10"/>
  <c r="E22" i="10" s="1"/>
  <c r="A22" i="10"/>
  <c r="E21" i="10"/>
  <c r="D21" i="10"/>
  <c r="A21" i="10"/>
  <c r="D20" i="10"/>
  <c r="E20" i="10" s="1"/>
  <c r="A20" i="10"/>
  <c r="D19" i="10"/>
  <c r="E19" i="10" s="1"/>
  <c r="A19" i="10"/>
  <c r="D18" i="10"/>
  <c r="E18" i="10" s="1"/>
  <c r="A18" i="10"/>
  <c r="D17" i="10"/>
  <c r="E17" i="10" s="1"/>
  <c r="A17" i="10"/>
  <c r="D16" i="10"/>
  <c r="E16" i="10" s="1"/>
  <c r="A16" i="10"/>
  <c r="D15" i="10"/>
  <c r="E15" i="10" s="1"/>
  <c r="A15" i="10"/>
  <c r="E14" i="10"/>
  <c r="A14" i="10"/>
  <c r="E13" i="10"/>
  <c r="A13" i="10"/>
  <c r="E12" i="10"/>
  <c r="A12" i="10"/>
  <c r="E11" i="10"/>
  <c r="A11" i="10"/>
  <c r="E10" i="10"/>
  <c r="A10" i="10"/>
  <c r="E9" i="10"/>
  <c r="A9" i="10"/>
  <c r="E8" i="10"/>
  <c r="A8" i="10"/>
  <c r="E7" i="10"/>
  <c r="A7" i="10"/>
  <c r="E6" i="10"/>
  <c r="A6" i="10"/>
  <c r="C31" i="5"/>
  <c r="C29" i="5"/>
  <c r="D27" i="8" l="1"/>
  <c r="E55" i="8"/>
  <c r="E38" i="8"/>
  <c r="E50" i="8"/>
  <c r="C32" i="5"/>
  <c r="G14" i="8"/>
  <c r="F14" i="8" s="1"/>
  <c r="D32" i="5" l="1"/>
  <c r="D13" i="8" l="1"/>
  <c r="F54" i="8"/>
  <c r="F53" i="8"/>
  <c r="G51" i="8"/>
  <c r="F51" i="8" s="1"/>
  <c r="G34" i="8"/>
  <c r="F34" i="8" s="1"/>
  <c r="I34" i="8"/>
  <c r="J34" i="8" s="1"/>
  <c r="G42" i="8"/>
  <c r="F42" i="8" s="1"/>
  <c r="G39" i="8"/>
  <c r="F39" i="8" s="1"/>
  <c r="G36" i="8"/>
  <c r="F36" i="8" s="1"/>
  <c r="G33" i="8"/>
  <c r="F33" i="8" s="1"/>
  <c r="G25" i="8"/>
  <c r="F25" i="8" s="1"/>
  <c r="G23" i="8"/>
  <c r="F23" i="8" s="1"/>
  <c r="F22" i="8"/>
  <c r="I39" i="8"/>
  <c r="J39" i="8" s="1"/>
  <c r="C13" i="20"/>
  <c r="H35" i="8" s="1"/>
  <c r="G35" i="8" s="1"/>
  <c r="F35" i="8" s="1"/>
  <c r="C13" i="8"/>
  <c r="E27" i="5"/>
  <c r="E30" i="5"/>
  <c r="E24" i="5"/>
  <c r="G23" i="5"/>
  <c r="E14" i="5"/>
  <c r="F14" i="5"/>
  <c r="E15" i="5"/>
  <c r="F15" i="5"/>
  <c r="E16" i="5"/>
  <c r="F16" i="5"/>
  <c r="E17" i="5"/>
  <c r="F17" i="5"/>
  <c r="E18" i="5"/>
  <c r="F18" i="5"/>
  <c r="E19" i="5"/>
  <c r="F19" i="5"/>
  <c r="E20" i="5"/>
  <c r="F20" i="5"/>
  <c r="E21" i="5"/>
  <c r="F21" i="5"/>
  <c r="E22" i="5"/>
  <c r="F22" i="5"/>
  <c r="E25" i="5"/>
  <c r="E28" i="5"/>
  <c r="E12" i="5"/>
  <c r="F12" i="5"/>
  <c r="F13" i="5"/>
  <c r="E13" i="5"/>
  <c r="E13" i="6"/>
  <c r="F13" i="6"/>
  <c r="E14" i="6"/>
  <c r="F14" i="6"/>
  <c r="E15" i="6"/>
  <c r="F15" i="6"/>
  <c r="E16" i="6"/>
  <c r="F16" i="6"/>
  <c r="E17" i="6"/>
  <c r="F17" i="6"/>
  <c r="E18" i="6"/>
  <c r="F18" i="6"/>
  <c r="E19" i="6"/>
  <c r="F19" i="6"/>
  <c r="E20" i="6"/>
  <c r="F20" i="6"/>
  <c r="E21" i="6"/>
  <c r="F21" i="6"/>
  <c r="E22" i="6"/>
  <c r="F22" i="6"/>
  <c r="E23" i="6"/>
  <c r="F23" i="6"/>
  <c r="E24" i="6"/>
  <c r="F24" i="6"/>
  <c r="E25" i="6"/>
  <c r="F25" i="6"/>
  <c r="E26" i="6"/>
  <c r="F26" i="6"/>
  <c r="E27" i="6"/>
  <c r="F27" i="6"/>
  <c r="F12" i="6"/>
  <c r="E12" i="6"/>
  <c r="F16" i="7"/>
  <c r="E16" i="7"/>
  <c r="E19" i="7"/>
  <c r="F19" i="7"/>
  <c r="F18" i="7"/>
  <c r="E18" i="7"/>
  <c r="C38" i="10"/>
  <c r="E38" i="10"/>
  <c r="E13" i="8" l="1"/>
  <c r="G32" i="5"/>
  <c r="F24" i="5"/>
  <c r="C22" i="22"/>
  <c r="F25" i="19"/>
  <c r="I46" i="25" s="1"/>
  <c r="E28" i="25"/>
  <c r="G13" i="8" l="1"/>
  <c r="F13" i="8" s="1"/>
  <c r="D17" i="8"/>
  <c r="D16" i="8" s="1"/>
  <c r="E27" i="8"/>
  <c r="H13" i="8" l="1"/>
  <c r="I13" i="8" s="1"/>
  <c r="E32" i="5"/>
  <c r="F30" i="5"/>
  <c r="D12" i="8" l="1"/>
  <c r="P6" i="5"/>
  <c r="H28" i="25" l="1"/>
  <c r="H18" i="25"/>
  <c r="H17" i="25"/>
  <c r="H13" i="25"/>
  <c r="H12" i="25"/>
  <c r="D29" i="25"/>
  <c r="E17" i="25"/>
  <c r="E12" i="25"/>
  <c r="E20" i="19"/>
  <c r="H7" i="19"/>
  <c r="I7" i="19" s="1"/>
  <c r="E8" i="37" l="1"/>
  <c r="H15" i="20" l="1"/>
  <c r="C18" i="20" l="1"/>
  <c r="N14" i="5"/>
  <c r="N15" i="5" s="1"/>
  <c r="D26" i="5" l="1"/>
  <c r="E26" i="5" s="1"/>
  <c r="F23" i="5" l="1"/>
  <c r="E23" i="5"/>
  <c r="M27" i="5"/>
  <c r="H22" i="5" l="1"/>
  <c r="I22" i="5" s="1"/>
  <c r="J22" i="5" s="1"/>
  <c r="H17" i="5"/>
  <c r="I17" i="5" s="1"/>
  <c r="J17" i="5" s="1"/>
  <c r="H30" i="5"/>
  <c r="I30" i="5" s="1"/>
  <c r="J30" i="5" s="1"/>
  <c r="G28" i="5"/>
  <c r="G25" i="5"/>
  <c r="H24" i="5"/>
  <c r="H25" i="5" l="1"/>
  <c r="I25" i="5" s="1"/>
  <c r="J25" i="5" s="1"/>
  <c r="F25" i="5"/>
  <c r="H28" i="5"/>
  <c r="I28" i="5" s="1"/>
  <c r="J28" i="5" s="1"/>
  <c r="F28" i="5"/>
  <c r="I24" i="5"/>
  <c r="H23" i="5"/>
  <c r="F27" i="5"/>
  <c r="J24" i="5" l="1"/>
  <c r="J23" i="5" s="1"/>
  <c r="I23" i="5"/>
  <c r="G26" i="5"/>
  <c r="F26" i="5" s="1"/>
  <c r="H27" i="5"/>
  <c r="H32" i="5" l="1"/>
  <c r="I27" i="5"/>
  <c r="J13" i="8"/>
  <c r="D31" i="5"/>
  <c r="D29" i="5"/>
  <c r="H26" i="5"/>
  <c r="I26" i="5" s="1"/>
  <c r="J26" i="5" s="1"/>
  <c r="Q22" i="5"/>
  <c r="Q23" i="5" s="1"/>
  <c r="G29" i="5" l="1"/>
  <c r="E29" i="5"/>
  <c r="G31" i="5"/>
  <c r="E31" i="5"/>
  <c r="I32" i="5"/>
  <c r="J27" i="5"/>
  <c r="J32" i="5" s="1"/>
  <c r="Q24" i="5"/>
  <c r="S27" i="5"/>
  <c r="S28" i="5" s="1"/>
  <c r="S29" i="5" s="1"/>
  <c r="S30" i="5" s="1"/>
  <c r="S31" i="5" s="1"/>
  <c r="N24" i="5"/>
  <c r="H29" i="5" l="1"/>
  <c r="I29" i="5" s="1"/>
  <c r="J29" i="5" s="1"/>
  <c r="F29" i="5"/>
  <c r="H31" i="5"/>
  <c r="I31" i="5" s="1"/>
  <c r="J31" i="5" s="1"/>
  <c r="F31" i="5"/>
  <c r="E11" i="37"/>
  <c r="E12" i="37"/>
  <c r="E10" i="37"/>
  <c r="E6" i="37"/>
  <c r="E7" i="37"/>
  <c r="E9" i="37"/>
  <c r="F26" i="16"/>
  <c r="F25" i="16"/>
  <c r="E10" i="14"/>
  <c r="E11" i="14"/>
  <c r="E12" i="14"/>
  <c r="E13" i="14"/>
  <c r="E14" i="14"/>
  <c r="E15" i="14"/>
  <c r="E16" i="14"/>
  <c r="E17" i="14"/>
  <c r="E18" i="14"/>
  <c r="E19" i="14"/>
  <c r="E20" i="14"/>
  <c r="E21" i="14"/>
  <c r="E22" i="14"/>
  <c r="E23" i="14"/>
  <c r="E24" i="14"/>
  <c r="E25" i="14"/>
  <c r="E8" i="14"/>
  <c r="E9" i="14"/>
  <c r="E26" i="14"/>
  <c r="E27" i="14"/>
  <c r="E28" i="14"/>
  <c r="E29" i="14"/>
  <c r="E30" i="14"/>
  <c r="E31" i="14"/>
  <c r="E32" i="14"/>
  <c r="E33" i="14"/>
  <c r="E34" i="14"/>
  <c r="E35" i="14"/>
  <c r="E36" i="14"/>
  <c r="E37" i="14"/>
  <c r="E38" i="14"/>
  <c r="E39" i="14"/>
  <c r="E40" i="14"/>
  <c r="E41" i="14"/>
  <c r="E42" i="14"/>
  <c r="E43" i="14"/>
  <c r="E7" i="14"/>
  <c r="O23" i="19"/>
  <c r="O24" i="19" s="1"/>
  <c r="G20" i="19"/>
  <c r="K20" i="19" s="1"/>
  <c r="M20" i="19" s="1"/>
  <c r="M21" i="19" s="1"/>
  <c r="P18" i="19"/>
  <c r="P13" i="19"/>
  <c r="P14" i="19" s="1"/>
  <c r="N12" i="19"/>
  <c r="H12" i="19"/>
  <c r="I12" i="19" s="1"/>
  <c r="H11" i="19"/>
  <c r="I11" i="19" s="1"/>
  <c r="K10" i="19"/>
  <c r="E10" i="19"/>
  <c r="I10" i="19" s="1"/>
  <c r="H9" i="19"/>
  <c r="K8" i="19"/>
  <c r="H8" i="19"/>
  <c r="L13" i="18"/>
  <c r="L12" i="18"/>
  <c r="E11" i="18"/>
  <c r="D11" i="18"/>
  <c r="H7" i="18"/>
  <c r="F7" i="18"/>
  <c r="I7" i="18"/>
  <c r="I11" i="18" s="1"/>
  <c r="C7" i="18"/>
  <c r="C11" i="18" s="1"/>
  <c r="K6" i="18"/>
  <c r="K7" i="18" s="1"/>
  <c r="K9" i="18" s="1"/>
  <c r="K11" i="26"/>
  <c r="K12" i="26"/>
  <c r="K10" i="26"/>
  <c r="H47" i="8"/>
  <c r="H48" i="8"/>
  <c r="P33" i="25"/>
  <c r="P31" i="25" s="1"/>
  <c r="F29" i="25"/>
  <c r="G28" i="25"/>
  <c r="J19" i="25"/>
  <c r="M19" i="25" s="1"/>
  <c r="N19" i="25" s="1"/>
  <c r="G19" i="25"/>
  <c r="H19" i="25" s="1"/>
  <c r="E19" i="25"/>
  <c r="J18" i="25"/>
  <c r="M18" i="25"/>
  <c r="N18" i="25" s="1"/>
  <c r="G18" i="25"/>
  <c r="J17" i="25"/>
  <c r="M17" i="25" s="1"/>
  <c r="N17" i="25" s="1"/>
  <c r="G17" i="25"/>
  <c r="J16" i="25"/>
  <c r="M16" i="25" s="1"/>
  <c r="N16" i="25" s="1"/>
  <c r="P16" i="25" s="1"/>
  <c r="J15" i="25"/>
  <c r="M15" i="25" s="1"/>
  <c r="N15" i="25" s="1"/>
  <c r="P15" i="25" s="1"/>
  <c r="J14" i="25"/>
  <c r="M14" i="25" s="1"/>
  <c r="N14" i="25" s="1"/>
  <c r="P14" i="25" s="1"/>
  <c r="J13" i="25"/>
  <c r="M13" i="25" s="1"/>
  <c r="N13" i="25" s="1"/>
  <c r="G13" i="25"/>
  <c r="E13" i="25"/>
  <c r="M12" i="25"/>
  <c r="N12" i="25" s="1"/>
  <c r="P12" i="25" s="1"/>
  <c r="G12" i="25"/>
  <c r="P11" i="25"/>
  <c r="I51" i="8"/>
  <c r="J51" i="8" s="1"/>
  <c r="I36" i="8"/>
  <c r="J36" i="8" s="1"/>
  <c r="I25" i="8"/>
  <c r="J25" i="8" s="1"/>
  <c r="E14" i="21"/>
  <c r="G15" i="22"/>
  <c r="H32" i="8" s="1"/>
  <c r="G7" i="22"/>
  <c r="H52" i="8" s="1"/>
  <c r="G52" i="8" s="1"/>
  <c r="F52" i="8" s="1"/>
  <c r="E13" i="21"/>
  <c r="E12" i="21"/>
  <c r="E11" i="21"/>
  <c r="E10" i="21"/>
  <c r="E9" i="21"/>
  <c r="E7" i="21"/>
  <c r="B7" i="20"/>
  <c r="F39" i="16"/>
  <c r="F37" i="16"/>
  <c r="F36" i="16"/>
  <c r="F35" i="16"/>
  <c r="F34" i="16"/>
  <c r="F32" i="16"/>
  <c r="F31" i="16"/>
  <c r="F30" i="16"/>
  <c r="F29" i="16"/>
  <c r="F28" i="16"/>
  <c r="F24" i="16"/>
  <c r="F23" i="16"/>
  <c r="F22" i="16"/>
  <c r="F21" i="16"/>
  <c r="F20" i="16"/>
  <c r="F19" i="16"/>
  <c r="F18" i="16"/>
  <c r="F17" i="16"/>
  <c r="F16" i="16"/>
  <c r="F15" i="16"/>
  <c r="F14" i="16"/>
  <c r="F13" i="16"/>
  <c r="F12" i="16"/>
  <c r="F11" i="16"/>
  <c r="F10" i="16"/>
  <c r="C17" i="8"/>
  <c r="C16" i="8" s="1"/>
  <c r="D46" i="8"/>
  <c r="C46" i="8"/>
  <c r="I42" i="8"/>
  <c r="E17" i="8" l="1"/>
  <c r="D11" i="8"/>
  <c r="E46" i="8"/>
  <c r="F46" i="8"/>
  <c r="H24" i="8"/>
  <c r="G24" i="8" s="1"/>
  <c r="F24" i="8" s="1"/>
  <c r="E6" i="21"/>
  <c r="E58" i="14"/>
  <c r="H17" i="8" s="1"/>
  <c r="F40" i="16"/>
  <c r="H30" i="8"/>
  <c r="I30" i="8" s="1"/>
  <c r="J30" i="8" s="1"/>
  <c r="E15" i="21"/>
  <c r="H37" i="8" s="1"/>
  <c r="I32" i="8"/>
  <c r="J32" i="8" s="1"/>
  <c r="G32" i="8"/>
  <c r="F32" i="8" s="1"/>
  <c r="E13" i="37"/>
  <c r="H43" i="8" s="1"/>
  <c r="H38" i="8" s="1"/>
  <c r="G38" i="8" s="1"/>
  <c r="H21" i="8"/>
  <c r="I24" i="8"/>
  <c r="J24" i="8" s="1"/>
  <c r="P18" i="25"/>
  <c r="I8" i="19"/>
  <c r="H13" i="19"/>
  <c r="H29" i="8"/>
  <c r="I29" i="8" s="1"/>
  <c r="C19" i="20"/>
  <c r="K9" i="26"/>
  <c r="P13" i="25"/>
  <c r="N29" i="25"/>
  <c r="H29" i="25"/>
  <c r="P19" i="25"/>
  <c r="P17" i="25"/>
  <c r="G29" i="25"/>
  <c r="E29" i="25"/>
  <c r="I9" i="19"/>
  <c r="I13" i="19" s="1"/>
  <c r="J42" i="8"/>
  <c r="H46" i="8"/>
  <c r="I52" i="8"/>
  <c r="G17" i="8" l="1"/>
  <c r="F17" i="8" s="1"/>
  <c r="C12" i="8"/>
  <c r="C11" i="8" s="1"/>
  <c r="H18" i="8"/>
  <c r="I18" i="8" s="1"/>
  <c r="J18" i="8" s="1"/>
  <c r="D17" i="7"/>
  <c r="I17" i="8"/>
  <c r="J17" i="8" s="1"/>
  <c r="E16" i="8"/>
  <c r="G30" i="8"/>
  <c r="F30" i="8" s="1"/>
  <c r="I37" i="8"/>
  <c r="J37" i="8" s="1"/>
  <c r="G37" i="8"/>
  <c r="F37" i="8" s="1"/>
  <c r="G43" i="8"/>
  <c r="F43" i="8" s="1"/>
  <c r="I43" i="8"/>
  <c r="J43" i="8" s="1"/>
  <c r="J38" i="8" s="1"/>
  <c r="I21" i="8"/>
  <c r="J21" i="8" s="1"/>
  <c r="G21" i="8"/>
  <c r="F21" i="8" s="1"/>
  <c r="H28" i="8"/>
  <c r="H27" i="8" s="1"/>
  <c r="G27" i="8" s="1"/>
  <c r="G29" i="8"/>
  <c r="F29" i="8" s="1"/>
  <c r="I35" i="8"/>
  <c r="J35" i="8" s="1"/>
  <c r="H31" i="8"/>
  <c r="I28" i="8"/>
  <c r="J29" i="8"/>
  <c r="J28" i="8" s="1"/>
  <c r="J52" i="8"/>
  <c r="E12" i="8" l="1"/>
  <c r="G18" i="8"/>
  <c r="F18" i="8" s="1"/>
  <c r="I38" i="8"/>
  <c r="G28" i="8"/>
  <c r="F28" i="8" s="1"/>
  <c r="I31" i="8"/>
  <c r="J31" i="8" s="1"/>
  <c r="J27" i="8" s="1"/>
  <c r="G31" i="8"/>
  <c r="F31" i="8" s="1"/>
  <c r="P28" i="25"/>
  <c r="P29" i="25" s="1"/>
  <c r="P39" i="25" s="1"/>
  <c r="F32" i="5"/>
  <c r="F27" i="8" l="1"/>
  <c r="F38" i="8"/>
  <c r="C17" i="7"/>
  <c r="E11" i="8"/>
  <c r="P40" i="25"/>
  <c r="H26" i="8" s="1"/>
  <c r="H16" i="8" s="1"/>
  <c r="I27" i="8"/>
  <c r="H12" i="8" l="1"/>
  <c r="H55" i="8" s="1"/>
  <c r="H50" i="8" s="1"/>
  <c r="G26" i="8"/>
  <c r="G16" i="8" s="1"/>
  <c r="I26" i="8"/>
  <c r="I16" i="8" s="1"/>
  <c r="J26" i="8" l="1"/>
  <c r="J16" i="8" s="1"/>
  <c r="I12" i="8"/>
  <c r="I55" i="8" s="1"/>
  <c r="I50" i="8" s="1"/>
  <c r="F26" i="8"/>
  <c r="J12" i="8"/>
  <c r="J55" i="8" s="1"/>
  <c r="J50" i="8" s="1"/>
  <c r="J11" i="8" s="1"/>
  <c r="J17" i="7" s="1"/>
  <c r="G50" i="8"/>
  <c r="I11" i="8" l="1"/>
  <c r="I17" i="7" s="1"/>
  <c r="F16" i="8"/>
  <c r="F12" i="8"/>
  <c r="F50" i="8"/>
  <c r="G55" i="8"/>
  <c r="F55" i="8" s="1"/>
  <c r="H11" i="8"/>
  <c r="H17" i="7" s="1"/>
  <c r="G11" i="8" l="1"/>
  <c r="G17" i="7" s="1"/>
  <c r="F17" i="7" s="1"/>
  <c r="E17" i="7"/>
  <c r="F11" i="8" l="1"/>
</calcChain>
</file>

<file path=xl/sharedStrings.xml><?xml version="1.0" encoding="utf-8"?>
<sst xmlns="http://schemas.openxmlformats.org/spreadsheetml/2006/main" count="926" uniqueCount="409">
  <si>
    <t>Հավելված 4</t>
  </si>
  <si>
    <t>ՏԵՂԵԿԱՆՔ I</t>
  </si>
  <si>
    <t xml:space="preserve">     պետական կազմակերպությունների ցանցային ցուցանիշների վերաբերյալ </t>
  </si>
  <si>
    <t xml:space="preserve"> Հասցեն, հեռախոս   </t>
  </si>
  <si>
    <t xml:space="preserve"> Ծրագիր</t>
  </si>
  <si>
    <t>փոփոխություններ բազային բյուջեում*</t>
  </si>
  <si>
    <t>Ցուցանիշներ</t>
  </si>
  <si>
    <t>միավոր</t>
  </si>
  <si>
    <t>հաստատված  բյուջե</t>
  </si>
  <si>
    <t xml:space="preserve">բազային բյուջե </t>
  </si>
  <si>
    <t>բյուջետային հայտ</t>
  </si>
  <si>
    <t xml:space="preserve"> Սյուն 1 </t>
  </si>
  <si>
    <t xml:space="preserve">   Սյուն 2 </t>
  </si>
  <si>
    <t>Սյուն 3</t>
  </si>
  <si>
    <t>Սյուն 4</t>
  </si>
  <si>
    <t>Սյուն 5</t>
  </si>
  <si>
    <t>Սյուն 6</t>
  </si>
  <si>
    <t xml:space="preserve">Սյուն 7 </t>
  </si>
  <si>
    <t>Սյուն 8</t>
  </si>
  <si>
    <t xml:space="preserve">Պետական կազմակերպությունների թիվը  </t>
  </si>
  <si>
    <t>պետական կազմակերպ.</t>
  </si>
  <si>
    <t>դրույք</t>
  </si>
  <si>
    <t>դրամ</t>
  </si>
  <si>
    <t>հազ.   դրամ</t>
  </si>
  <si>
    <t>Վարչական անձնակազմի դրույքների թիվը</t>
  </si>
  <si>
    <t>Վարչական անձնակազմի     միջին ամսական աշխատավարձը</t>
  </si>
  <si>
    <t>Ուսումնաօժանդակ և տնտեսական անձնակազմի դրույքների թիվը</t>
  </si>
  <si>
    <t>Ուսումնաօժանդակ և տնտեսական անձնակազմի տարեկան         աշխատավարձի ֆոնդը</t>
  </si>
  <si>
    <t>ԸՆԴԱՄԵՆԸ         հաստիքային միավորների թիվը</t>
  </si>
  <si>
    <t>խումբ</t>
  </si>
  <si>
    <t>Վարչական անձնակազմի  տարեկան         աշխատավարձի ֆոնդը</t>
  </si>
  <si>
    <t>սովորող</t>
  </si>
  <si>
    <t>Ուսումնաօժանդակ   և տնտեսական անձնակազմի միջին ամսական աշխատավարձը</t>
  </si>
  <si>
    <t>ուսանող</t>
  </si>
  <si>
    <t>դասախոս</t>
  </si>
  <si>
    <t>ասպիրանտ</t>
  </si>
  <si>
    <t>օրդինատոր</t>
  </si>
  <si>
    <t>Դասախոսների միջին  ամսական աշխատավարձը</t>
  </si>
  <si>
    <t>Դասախոսների  տարեկան աշխատավարձի ֆոնդը</t>
  </si>
  <si>
    <t>հազ. դրամ</t>
  </si>
  <si>
    <t>Լրացուցիչ կրթություն</t>
  </si>
  <si>
    <t>Ունկնդիրների  միջին տարեկան թիվը</t>
  </si>
  <si>
    <t>ունկնդիր</t>
  </si>
  <si>
    <t>խմբերի միջին տարեկան թիվը</t>
  </si>
  <si>
    <t>Մեկ խմբին ընկնող ժամերի թիվը</t>
  </si>
  <si>
    <t>ժամ</t>
  </si>
  <si>
    <t>ժամերի քանակը</t>
  </si>
  <si>
    <t>Մեկ ժամի արժեքը</t>
  </si>
  <si>
    <t>ժամավճարի ֆոնդը</t>
  </si>
  <si>
    <t>Դասախոսների միջին թիվը</t>
  </si>
  <si>
    <t>ՏԵՂԵԿԱՆՔ II</t>
  </si>
  <si>
    <t xml:space="preserve">     պետական կազմակերպություններին հաշվարկված կրթաթոշակների վերաբերյալ </t>
  </si>
  <si>
    <t>Կրթաթոշակ  ստացող ուսանողների   միջին  տարեկան թիվը, այդ թվում</t>
  </si>
  <si>
    <t>սովորական կրթաթոշակ ստացողներ</t>
  </si>
  <si>
    <t>,,գերազանց,, գնահատականներ ունեցող ուսանողներ</t>
  </si>
  <si>
    <t>ավարտական կուրսերի ուսանողներ,առանց գերազանցիկների</t>
  </si>
  <si>
    <t xml:space="preserve">ավարտական կուրսերի ,,գերազանց,, գնահատականներ ունեցող ուսանողներ </t>
  </si>
  <si>
    <t>մագիստրոսներ</t>
  </si>
  <si>
    <t>մագիստրոս</t>
  </si>
  <si>
    <t>ասպիրանտներ</t>
  </si>
  <si>
    <t>ինտերնատորներ</t>
  </si>
  <si>
    <t>ինտերնատոր</t>
  </si>
  <si>
    <t>օրդինատորներ</t>
  </si>
  <si>
    <t>Կրթաթոշակի  մեկ  ամսվա   չափը, այդ թվում</t>
  </si>
  <si>
    <t xml:space="preserve">դրամ </t>
  </si>
  <si>
    <t>ՏԵՂԵԿԱՆՔ III</t>
  </si>
  <si>
    <t xml:space="preserve"> Պետական կազմակերպությունների թիվը</t>
  </si>
  <si>
    <t>Շահառուների թիվը</t>
  </si>
  <si>
    <t>հազ.դրամ</t>
  </si>
  <si>
    <t>ՏԵՂԵԿԱՆՔ IV</t>
  </si>
  <si>
    <t xml:space="preserve">     պետական կազմակերպությունների ծախսերի հաշվարկման վերաբերյալ </t>
  </si>
  <si>
    <t>Բ. ԸՆԴԱՄԵՆԸ ԾԱԽՍԵՐ (I+II+III)</t>
  </si>
  <si>
    <t>I. ԸՆԹԱՑԻԿ ԾԱԽՍԵՐ</t>
  </si>
  <si>
    <t>Հանրակացարանում ապրող սովորողների թիվը</t>
  </si>
  <si>
    <t>սովորողների արտադրական / մանկավարժական/ և ուսումնական պրակտիկայի ծախսը</t>
  </si>
  <si>
    <t>Տրանսպորտային միջոցների քանակը</t>
  </si>
  <si>
    <t>մեքենա</t>
  </si>
  <si>
    <t>հեռախոսային կետերի քանակը</t>
  </si>
  <si>
    <t xml:space="preserve"> - սեփական կաթսայատան միջոցով ծախսի գումարը</t>
  </si>
  <si>
    <t>III. ՀԱՐԿԵՐ, այդ թվում ըստ տեսակների</t>
  </si>
  <si>
    <t>Չափի միավորը</t>
  </si>
  <si>
    <t>Դաս</t>
  </si>
  <si>
    <t>Կրթական, մշակութային և սպորտային նպաստներ բյուջեից</t>
  </si>
  <si>
    <t xml:space="preserve"> Գրասենյակային նյութեր և հագուստ, այդ թվում</t>
  </si>
  <si>
    <t>Կապի ծառայություններ</t>
  </si>
  <si>
    <t>ԾԱՌԱՅՈՒԹՅՈՒՆՆԵՐԻ ԵՎ ԱՊՐԱՆՔՆԵՐԻ ՁԵՌՔԲԵՐՈՒՄ, այդ թվում</t>
  </si>
  <si>
    <t>II. ՈՉ ՖԻՆԱՆՍԱԿԱՆ ԱԿՏԻՎՆԵՐԻ ԳԾՈՎ ԾԱԽՍԵՐ, այդ թվում</t>
  </si>
  <si>
    <t xml:space="preserve"> ա) ջեռուցման ծառայություններ, այդ թվում</t>
  </si>
  <si>
    <t xml:space="preserve"> բ) ջրամատակարարման և ջրահեռացման ծառայություններ</t>
  </si>
  <si>
    <t>գ) էներգետիկ ծառայություններ</t>
  </si>
  <si>
    <t xml:space="preserve"> Շենքերի և կառույցների ընթացիկ նորոգում և պահպանում</t>
  </si>
  <si>
    <t xml:space="preserve"> Տրանսպորտային սարքավորումներ</t>
  </si>
  <si>
    <t>Վարչական սարքավորումներ</t>
  </si>
  <si>
    <t>Այլ մեքենաներ և սարքավորումներ</t>
  </si>
  <si>
    <t>հեռախոս. կետ</t>
  </si>
  <si>
    <t>Աշխատողների աշխատավարձեր և հավելավճարներ</t>
  </si>
  <si>
    <t xml:space="preserve">  Դրամաշնորհների, այլ տրանսֆերտային վճարների վերաբերյալ </t>
  </si>
  <si>
    <t xml:space="preserve"> - գրասենյակային պիտույքներ</t>
  </si>
  <si>
    <t xml:space="preserve"> Էներգետիկ և կոմունալ ծառայությունների         վճարներ,այդ թվում</t>
  </si>
  <si>
    <t>դ) դեռատիզացիա, աղբահանություն և այլն</t>
  </si>
  <si>
    <t>Դրամաշնորհներ, այլ տրանսֆերտային վճարներ</t>
  </si>
  <si>
    <t>Սյուն 9</t>
  </si>
  <si>
    <t>Սյուն 10</t>
  </si>
  <si>
    <t>Սյուն 11</t>
  </si>
  <si>
    <t>ՀԱՍՏԻՔԱՑՈՒՑԱԿ</t>
  </si>
  <si>
    <t>Պաշտոն</t>
  </si>
  <si>
    <t>Ռեկտոր</t>
  </si>
  <si>
    <t>Պրոռեկտոր</t>
  </si>
  <si>
    <t>Էլեկտրականության և սանիտարական տեխնիկ</t>
  </si>
  <si>
    <t>Հյուրանոցի ադմինիստրատոր</t>
  </si>
  <si>
    <t>Հավաքարար</t>
  </si>
  <si>
    <t>Ընդամենը</t>
  </si>
  <si>
    <t xml:space="preserve"> Պետական կազմակերպության /ընկերության/ անվանումը              &lt;&lt;Արդարադատության ակադեմիա&gt;&gt; ՊՈԱԿ</t>
  </si>
  <si>
    <t xml:space="preserve">  Հասցեն     ք.Երևան, Փիրումյանների 9</t>
  </si>
  <si>
    <t xml:space="preserve"> Պետական կազմակերպության անվանումը &lt;&lt;Արդարադատության ակադեմիա&gt;&gt; ՊՈԱԿ</t>
  </si>
  <si>
    <t>ք.Երևան, Փիրումյանների 9</t>
  </si>
  <si>
    <t>09 05 02 10</t>
  </si>
  <si>
    <t>Մասնագիտական վերապատրաստում անցնող ունկնդիրների կրթաթոշակ</t>
  </si>
  <si>
    <t>գումարը ՀՀ դրամ</t>
  </si>
  <si>
    <t>N</t>
  </si>
  <si>
    <t>Անվանումը</t>
  </si>
  <si>
    <t>Չ/Մ</t>
  </si>
  <si>
    <t>միավորի գինը</t>
  </si>
  <si>
    <t>Քանակը</t>
  </si>
  <si>
    <t>հատ</t>
  </si>
  <si>
    <t xml:space="preserve"> - հագուստ և համազգեստ /անկողնային պարագաներ/</t>
  </si>
  <si>
    <t>Հանրային սննդի նյութեր /կենցաղային ապրանքներ հատուկ նպատակային նյութեր/</t>
  </si>
  <si>
    <t>Ընդհանուր բնույթի այլ ծառայություններ, այդ թվում</t>
  </si>
  <si>
    <t>Գրասենյակային սարքերի և սարքավորումների ընթացիկ նորոգում և պահպանում</t>
  </si>
  <si>
    <t>Տեսագրման ծառայություններ</t>
  </si>
  <si>
    <t>Բանկային ծառայություններ, էլ. ստորագրության արժեք</t>
  </si>
  <si>
    <t>Գործուղումներ, Ներկայացուցչական ծախսեր</t>
  </si>
  <si>
    <t>Անկախ աուդիտորական ծառայություն</t>
  </si>
  <si>
    <t>Տրանսպորտային միջոցի գույքահարկ</t>
  </si>
  <si>
    <t>Ճանապարհային տրանսպորտային միջոցների տեխնիկական վերահսկողություն և բնապահպանական վճարներ</t>
  </si>
  <si>
    <t>Ավտոկայանատեղի տեղական տուրք</t>
  </si>
  <si>
    <r>
      <rPr>
        <sz val="8"/>
        <rFont val="Arial"/>
        <family val="2"/>
        <charset val="204"/>
      </rPr>
      <t>&lt;&lt;</t>
    </r>
    <r>
      <rPr>
        <sz val="12"/>
        <rFont val="Arial"/>
        <family val="2"/>
        <charset val="204"/>
      </rPr>
      <t>Արդարադաության ակադեմիա</t>
    </r>
    <r>
      <rPr>
        <sz val="8"/>
        <rFont val="Arial"/>
        <family val="2"/>
        <charset val="204"/>
      </rPr>
      <t>&gt;&gt;</t>
    </r>
    <r>
      <rPr>
        <sz val="12"/>
        <rFont val="Arial"/>
        <family val="2"/>
        <charset val="204"/>
      </rPr>
      <t xml:space="preserve"> ՊՈԱԿ</t>
    </r>
  </si>
  <si>
    <t>շտամպի բարձիկ</t>
  </si>
  <si>
    <t>,</t>
  </si>
  <si>
    <t>գնդիկավոր գրիչ</t>
  </si>
  <si>
    <t>գելային գրիչ</t>
  </si>
  <si>
    <t>Ñ³ï</t>
  </si>
  <si>
    <t xml:space="preserve">   &lt;&lt;Արդարադաության ակադեմիա&gt;&gt; ՊՈԱԿ</t>
  </si>
  <si>
    <t>ցերեկային լամպ 60սմ</t>
  </si>
  <si>
    <t>տուփ</t>
  </si>
  <si>
    <t>հատակ մաքրելու շոր</t>
  </si>
  <si>
    <t>ձեռքի հեղուկ օճառ</t>
  </si>
  <si>
    <t>կգ</t>
  </si>
  <si>
    <t>ավել</t>
  </si>
  <si>
    <t>օդի հոտավետ հոտազերծիչ</t>
  </si>
  <si>
    <t>Հ Ա Շ Վ Ա Ր Կ</t>
  </si>
  <si>
    <t>Բաժանորդային վարձ</t>
  </si>
  <si>
    <t>Ինտերնետ</t>
  </si>
  <si>
    <t>Համակարգչային մասնագետ</t>
  </si>
  <si>
    <t>´Ý³Ï³í³ÛñÁ</t>
  </si>
  <si>
    <t>¸³ÑÉÇ×Ç Ù³Ï»ñ»ëÁ Ù2</t>
  </si>
  <si>
    <t>Ð³ëïÇùÝ»ñ ù³Ý³ÏÁ</t>
  </si>
  <si>
    <t>úñ»ñÇ ù³Ý³Ï</t>
  </si>
  <si>
    <t>1Ù3 ë³Ï³·ÇÝ</t>
  </si>
  <si>
    <t>Ð³ë³Ý»ÉÇù çñÇ ù³Ý³ÏÁ Ûáõñ³ù³ÝãÛáõñ Ñ³ëïÇù³ÛÇÝ ÙÇ³íáñÇ Ñ³ßíáí  /Ù3/</t>
  </si>
  <si>
    <t>æñÇ û·ï³·áñÍÙ³Ý Ñ³Ù³ñ ³ÝÑñ³Å»ßï ·áõÙ³ñ  9=(5+4/0,8)*6*7*8</t>
  </si>
  <si>
    <t>ÀÝ¹³Ù»ÝÁ</t>
  </si>
  <si>
    <t>x</t>
  </si>
  <si>
    <t xml:space="preserve">Հայտատուի  անվանումը </t>
  </si>
  <si>
    <t>&lt;&lt;Արդարադատության ակադեմիա&gt;&gt; ՊՈԱԿ</t>
  </si>
  <si>
    <t>Համակարգիչների քանակւ /հատ/</t>
  </si>
  <si>
    <t>Հզորությունը</t>
  </si>
  <si>
    <t>Շահագոևծման ժամերի տարեկան քանակը</t>
  </si>
  <si>
    <t>Շենքերի և շինությունների մակերեսաը /քառ. Մետր/</t>
  </si>
  <si>
    <t>Տարեկան ծախսի նորմը /Կվտ. Ժամ/</t>
  </si>
  <si>
    <t>Ընդամենը տարեկան ծախսի նորմը /Կվտ. Ժամ/</t>
  </si>
  <si>
    <t>Ընդամենը էլեկտրաէներգիայի ծախս/հազար դրամ/</t>
  </si>
  <si>
    <t>Լուսավորության և կենցաղային սարքերի ծախսի, օդի լավորակման դեպքում՝ շենքերի և շինությունների 1քառ/մետր մակերեսի համար</t>
  </si>
  <si>
    <t>Լուսավորության և կենցաղային սարքերի ծախսի, առանց օդի լավորակման դեպքում՝ շենքերի և շինությունների 1քառ/մետր մակերեսի համար</t>
  </si>
  <si>
    <t>Համակարգիչների 1 հատի համար, որը ներառում է տպիչ սարքերի և այլ կազմտեխնիկայի ծախսը, 8-ժամյա աշխատանքային օրվա համար</t>
  </si>
  <si>
    <t>Արտաքին լուսավորություն</t>
  </si>
  <si>
    <t>Պատճենահանող սարք</t>
  </si>
  <si>
    <t>Ըդամենը</t>
  </si>
  <si>
    <t>հ/հ</t>
  </si>
  <si>
    <t>բնակավայրը</t>
  </si>
  <si>
    <t>Շենքի տեսակը  (քար, պանելային, միաձույլ)</t>
  </si>
  <si>
    <t xml:space="preserve">Շենքի ընդհանուր ծավալը (խոր/մետր) հաշվարկած արտաքին չափերով </t>
  </si>
  <si>
    <t>այդ թվում՝զբաղեցրած տարածքի ծավալը (խոր. մետր)</t>
  </si>
  <si>
    <t>Ջերմային էներգիայի տարեկան ծախսի նորմը                   (Գկալ/խոր.մետր)</t>
  </si>
  <si>
    <t xml:space="preserve"> Բնական գազով աշխատող կաթսաներ (խոր. մետր)</t>
  </si>
  <si>
    <t>Բնական գազով աշխատող անհատական ջեռուցիչ սարքեր, վառարաններ</t>
  </si>
  <si>
    <t>Հեղուկ վառելիք անհատական ջեռուցիչ սարքերի, վառարանների համար (կգ)</t>
  </si>
  <si>
    <t>Ընդամենը տարեկան ծախս (Գկալ/խոր.մետր)</t>
  </si>
  <si>
    <t>Սակագինը (հազ.դրամ)</t>
  </si>
  <si>
    <t>Ընդամենը ջեռուցման ծախս                (հազ. Դրամ)</t>
  </si>
  <si>
    <t>Ք.Երևան</t>
  </si>
  <si>
    <t>քար</t>
  </si>
  <si>
    <t>Տ Ե Ղ Ե Կ Ա Ն Ք</t>
  </si>
  <si>
    <r>
      <rPr>
        <sz val="10"/>
        <rFont val="GHEA Grapalat"/>
        <family val="3"/>
      </rPr>
      <t>Մասնագիտական ծառայությունների մասին</t>
    </r>
  </si>
  <si>
    <t>Հ/Հ</t>
  </si>
  <si>
    <t>Գումարը</t>
  </si>
  <si>
    <t>Անվտանգության ապահովման այլ ծառայություններ</t>
  </si>
  <si>
    <t>Հակահրդեհային անվտանգության փորձաքննություն</t>
  </si>
  <si>
    <t>Կաթսայի տեխնիկական անվտանգության փորձաքննության ծառայություն</t>
  </si>
  <si>
    <t>Ծխաօդատարների ստուգման ծառայություն</t>
  </si>
  <si>
    <t>Գազասպառման համակարգի տեխնիկական սպասարկում և կարգաբերում</t>
  </si>
  <si>
    <t>îñ³Ýëåáñï³ÛÇÝ ÝÛáõÃ»ñ</t>
  </si>
  <si>
    <t>´»Ý½ÇÝ é»·áõÉÛ³é </t>
  </si>
  <si>
    <t>É</t>
  </si>
  <si>
    <t>Þ³ñÅÇãÇ ÛáõÕ /5/É</t>
  </si>
  <si>
    <t>Ð³Ï³ë³éÇã Ñ»ÕáõÏ /5/É</t>
  </si>
  <si>
    <t>ÚáõÕÇ ýÇÉïñ (½ïÇã)</t>
  </si>
  <si>
    <t>Îáõï³ÏÇã</t>
  </si>
  <si>
    <t>´»Ý½ÇÝÇ ½ïÇã</t>
  </si>
  <si>
    <t>Տեղեկանք</t>
  </si>
  <si>
    <t>հազար դրամ</t>
  </si>
  <si>
    <t xml:space="preserve">Ճանապարհային տրանսպորտային միջոցների  </t>
  </si>
  <si>
    <t xml:space="preserve">Տեխնիկական վերահսկողության ¥զննման¤ ծառայություններ          </t>
  </si>
  <si>
    <t>Բնապահպանական վճար</t>
  </si>
  <si>
    <t>Ընդհանուրը</t>
  </si>
  <si>
    <t xml:space="preserve">Ծառայողական մեքենաների քանակը </t>
  </si>
  <si>
    <t>Արդարադատության ակադեմիա</t>
  </si>
  <si>
    <t>Աղբահանության վճարի մասին</t>
  </si>
  <si>
    <t>Մշակվող տարածք</t>
  </si>
  <si>
    <t>Մեկ միավորի գինը կամ սակագինը (դրամով)</t>
  </si>
  <si>
    <t>հաճախականությունը /տարեկան/</t>
  </si>
  <si>
    <t>Ընդհանուր գումարը            (հազ. դրամով)</t>
  </si>
  <si>
    <t>ք/մ</t>
  </si>
  <si>
    <t>Արտագերատեսչական ծախսեր /պահնորդական ծառայություն</t>
  </si>
  <si>
    <t>Մասնագիտական ծառայություններ</t>
  </si>
  <si>
    <t xml:space="preserve">  Տրանսպորտային ծախսեր /բենզին /</t>
  </si>
  <si>
    <t>Տրանսպորտային   սարքավորումների ընթացիկ նորոգում և պահպանում/ներառյալ նյութերը/</t>
  </si>
  <si>
    <t>Վերանորոգման ծառայություններ</t>
  </si>
  <si>
    <t>Վերանորոգման ծառայություններ ներառյալ նյութերը</t>
  </si>
  <si>
    <t>Հաշվապահական ծրագրի սպասարկում</t>
  </si>
  <si>
    <t>Ուսումնական նյութերի տպագրական աշխատանքներ</t>
  </si>
  <si>
    <t xml:space="preserve"> Հեռախոսային խոսակցություններ</t>
  </si>
  <si>
    <t xml:space="preserve">Փոքր ունակությամբ (PABX) հեռախոսակայան ներ չշահագործող մարմին ների սովորական հեռախո սի բաժանորդային վարձ (տարեկան) </t>
  </si>
  <si>
    <t xml:space="preserve">Փոքր ունակությամբ (PABX) հեռախոսակայան ներ շահագործող մարմին ների սովորական հեռախո սի բաժանորդային վարձ (տարեկան) </t>
  </si>
  <si>
    <t>Ընդամենը սովորական հեռախոսի բաժանորդային վարձ (տարեկան)</t>
  </si>
  <si>
    <t xml:space="preserve">տեղական ելից հեռախոսային խոսակցություններ </t>
  </si>
  <si>
    <t xml:space="preserve">միջքաղաքային և դեպի բջջային ցանց ելից հեռախոսային խոսակցություններ, այդ թվում` ֆաքսիմիլային  միջքաղաքային հաղորդագրություններ </t>
  </si>
  <si>
    <t xml:space="preserve">միջազգային ելից հեռախոսային  խոսակցություններ, այդ թվում` ֆաքսի միլային  միջազգային հաղորդագրություններ </t>
  </si>
  <si>
    <t xml:space="preserve">Ընդամենը հեռախոսային խոսակցություն ների համար սահմանվող ամսական վճար </t>
  </si>
  <si>
    <t xml:space="preserve">Հեռախոսային խոսակցություն ների տարեկան սահմանաչափ </t>
  </si>
  <si>
    <t>Փոստային կապի ծառայություններ</t>
  </si>
  <si>
    <t>Ընդամենը կապի ծառայությունների վճարներ (տարեկան)</t>
  </si>
  <si>
    <t>Հաստիքը  կամ  ստորաբաժանումը</t>
  </si>
  <si>
    <t>քանակը</t>
  </si>
  <si>
    <t>(ս.4 x բաժանորդային վարձx12ամիս) դրամ</t>
  </si>
  <si>
    <t>(ս.6 x բաժանորդային վարձx12ամիս) դրամ</t>
  </si>
  <si>
    <t>(դրամ)</t>
  </si>
  <si>
    <t xml:space="preserve"> (րոպե)</t>
  </si>
  <si>
    <t>Բաժանորդային վարձի սակագինը ըստ կապի օպերատորի հետ կնքված պայմանագրի (ՀՀ դրամով` առանց ԱԱՀ-ի)</t>
  </si>
  <si>
    <t>Պետական մարմին - ընդամենը աշխատողների թիվը</t>
  </si>
  <si>
    <t>Ղեկավարի խորհրդական</t>
  </si>
  <si>
    <t>Ղեկավարի օգնական</t>
  </si>
  <si>
    <t>Աշխատակազմի առանձնացված ստորաբաժանման տարածքային մարմնի ղեկավար</t>
  </si>
  <si>
    <t>Յուրաքանչյուր 4 կամ 5 միավորի համար մեկական հեռախոսագիծ (բացառությամբ տեխնիկական սպասարկողների)</t>
  </si>
  <si>
    <t>Կապի այլ ծառայություններ /լրացնել ըստ գնման պայմանագրերի/</t>
  </si>
  <si>
    <t>…</t>
  </si>
  <si>
    <t>ապահովագրական վճար</t>
  </si>
  <si>
    <t xml:space="preserve">                                  Սովորող         ուսանողների       թիվը</t>
  </si>
  <si>
    <t>ուսումն. հաստ. թիվը</t>
  </si>
  <si>
    <t>տարվա  սկիզբ</t>
  </si>
  <si>
    <t>ընդունելություն</t>
  </si>
  <si>
    <t>ավարտողներ</t>
  </si>
  <si>
    <t>միջանցիկ թվաքան.</t>
  </si>
  <si>
    <t>մաղումներ</t>
  </si>
  <si>
    <t>մաղումների %</t>
  </si>
  <si>
    <t>եկածների թիվը հաշվի առած գնացածը</t>
  </si>
  <si>
    <t>տարվա  վերջ</t>
  </si>
  <si>
    <t>միջին   տարեկան սովորող-   ներ</t>
  </si>
  <si>
    <t>ՑԵՐԵԿԱՅԻՆ  ՈՒՍՈՒՑՈՒՄ /դատավորներ, դատական ծառայողներ, դատական կարգադրիչներ, դատախազության աշխատակազմի պետական ծառայողներ, դատավորի և դատախազի թեկնածություններ</t>
  </si>
  <si>
    <t>Հյուրանոցի շահագործման ընթացքում օգտագործվող ջրի ծախս</t>
  </si>
  <si>
    <t>վերապատրաստման ծառայություններ</t>
  </si>
  <si>
    <t>+</t>
  </si>
  <si>
    <t>ԱԱՀ</t>
  </si>
  <si>
    <t>Ս.Առաքելյան</t>
  </si>
  <si>
    <t>թուղթ A4 ֆորմատի</t>
  </si>
  <si>
    <t>թղթապանակ արագակար</t>
  </si>
  <si>
    <t>սոսինձ թղթի</t>
  </si>
  <si>
    <t>թանաք շտամպի բարձիկի</t>
  </si>
  <si>
    <t>ծրար A4</t>
  </si>
  <si>
    <t>թղթապանակ թղթե թելով</t>
  </si>
  <si>
    <t>մարկեր գրատախտակի համար</t>
  </si>
  <si>
    <t>գրատախտակի մաքրիչներ</t>
  </si>
  <si>
    <t>սեղմակ փոքր</t>
  </si>
  <si>
    <t>ջնջիչ վրձինով</t>
  </si>
  <si>
    <t>սեղմակ միջին</t>
  </si>
  <si>
    <t>սեղմակ մեծ</t>
  </si>
  <si>
    <t>սոսնձամատիտ</t>
  </si>
  <si>
    <t>շտրիխներ</t>
  </si>
  <si>
    <t>զուգարանի թուղթ</t>
  </si>
  <si>
    <t>թղթե անձեռոցիկ</t>
  </si>
  <si>
    <t>կահույք մաքրելու շոր</t>
  </si>
  <si>
    <t>լվացող նյութ ապակիների համար</t>
  </si>
  <si>
    <t>հատակի փայլեցման միջոց</t>
  </si>
  <si>
    <t>ձեռնոց</t>
  </si>
  <si>
    <t>ցերեկային լամպ 120</t>
  </si>
  <si>
    <t>մեկանգամյա օգտագոևծման բաժակներ</t>
  </si>
  <si>
    <t>ժավել</t>
  </si>
  <si>
    <t>օճառ ձեռքի</t>
  </si>
  <si>
    <t>լ</t>
  </si>
  <si>
    <t>Շինարարական նյութեր</t>
  </si>
  <si>
    <t>փականների մասեր</t>
  </si>
  <si>
    <t>ներկ ջրաէմուլսիոն ակրիլ</t>
  </si>
  <si>
    <t>դռան, լուսամուտի փականներ</t>
  </si>
  <si>
    <t>ծեփամածիկ գիպսային</t>
  </si>
  <si>
    <t>ցեմենտ</t>
  </si>
  <si>
    <t>Համակարգչային նյութեր</t>
  </si>
  <si>
    <t>ֆիլտր 3մ</t>
  </si>
  <si>
    <t>սկավառակCD</t>
  </si>
  <si>
    <t>սկավառակ DVD</t>
  </si>
  <si>
    <t>երկարացման լար</t>
  </si>
  <si>
    <t>Աղբյուրի ջուր ՍԻԼ 19լ</t>
  </si>
  <si>
    <t>Աղբյուրի ջուր ՍԻԼ 0,5լ</t>
  </si>
  <si>
    <t>բարձրախոս</t>
  </si>
  <si>
    <t xml:space="preserve">Գնման առարկայի  </t>
  </si>
  <si>
    <t>Ուսումնական ձեռնարկի տպագրություն /Ուսուցման ծրագրեր/</t>
  </si>
  <si>
    <t>Ավարտական վկայականի տպագրություն</t>
  </si>
  <si>
    <t>Դիպլոմի  տպագրություն</t>
  </si>
  <si>
    <t>Պահանջվող ծավալը /օրինակ/</t>
  </si>
  <si>
    <t>Գրիչի վրա տպագրություն</t>
  </si>
  <si>
    <t>Նոթատետրի տպագրություն</t>
  </si>
  <si>
    <t>Հիմնավորում</t>
  </si>
  <si>
    <t xml:space="preserve">Մեկ միավորի ձեռքբերման համար նախատեսված  գինը /ՀՀ դրամ/ </t>
  </si>
  <si>
    <t>Հաշվապահների, մասնագետների դրույքների թիվը</t>
  </si>
  <si>
    <t>Հաշվապահների, մասնագետների  միջին ամսական աշխատավարձը</t>
  </si>
  <si>
    <t>Հաշվապահների, մասնագետների  տարեկան աշխատավարձի ֆոնդը</t>
  </si>
  <si>
    <t>060 46 00 94</t>
  </si>
  <si>
    <t>«Արդարադատության ակադեմիա» ՊՈԱԿ-ի</t>
  </si>
  <si>
    <t>Հաստիքների քանակ</t>
  </si>
  <si>
    <t>Ամսական պաշտոնային դրույքաչափ (ՀՀ դրամ)</t>
  </si>
  <si>
    <t>Աշխատակազմի ղեկավար</t>
  </si>
  <si>
    <t>Ռեկտորի օգնական - Կառավարման խորհրդի քարտուղար</t>
  </si>
  <si>
    <t>Հեռաուսուցման և ՏՏ դեպարտամենտի ղեկավար</t>
  </si>
  <si>
    <t>Դատական համակարգի ունկնդիրների ուսուցման կազմակերպման բաժնի ղեկավար</t>
  </si>
  <si>
    <t>Դատախազության և քննչական համակարգի ունկնդիրների ուսուցման կազմակերպման բաժնի ղեկավար</t>
  </si>
  <si>
    <t>Գիտահետազոտական և ծրագրամեթոդական աշխատանքների կազմակերպման բաժնի ղեկավար</t>
  </si>
  <si>
    <t>Հեռաուսուցման և ՏՏ դեպարտամենտի գլխավոր մասնագետ</t>
  </si>
  <si>
    <t>Դատական համակարգի ունկնդիրների ուսուցման կազմակերպման բաժնի գլխավոր մասնագետ</t>
  </si>
  <si>
    <t>Դատախազության և քննչական համակարգի ունկնդիրների ուսուցման կազմակերպման բաժնի գլխավոր մասնագետ</t>
  </si>
  <si>
    <t>Գիտահետազոտական և ծրագրամեթոդական աշխատանքների կազմակերպման բաժնի  գլխավոր մասնագետ</t>
  </si>
  <si>
    <t>Հեռաուսուցման և ՏՏ դեպարտամենտի մասնագետ</t>
  </si>
  <si>
    <t>Դատական համակարգի ունկնդիրների ուսուցման կազմակերպման բաժնի մասնագետ</t>
  </si>
  <si>
    <t>Դատախազության և քննչական համակարգի ունկնդիրների ուսուցման կազմակերպման բաժնի մասնագետ</t>
  </si>
  <si>
    <t>Գիտահետազոտական և ծրագրամեթոդական աշխատանքների կազմակերպման բաժնի մասնագետ</t>
  </si>
  <si>
    <t>Ֆինանսական բաժնի ղեկավար - գլխավոր հաշվապահ</t>
  </si>
  <si>
    <t>Համագործակցության և հանրային կապերի բաժնի ղեկավար</t>
  </si>
  <si>
    <t>Անձնակազմի և փաստաթղթաշրջանառության բաժնի ղեկավար</t>
  </si>
  <si>
    <t>Տեխնիկատնտեսական բաժնի ղեկավար - տնտեսվար</t>
  </si>
  <si>
    <t xml:space="preserve">Տեղեկատվական տեխնոլոգիաների մասնագետ - ծրագրավորող </t>
  </si>
  <si>
    <t>Համագործակցության և հանրային կապերի բաժնի մասնագետ</t>
  </si>
  <si>
    <t>Դատական համակարգի ունկնդիրների ուսուցման կազմակերպման բաժնի գործավար</t>
  </si>
  <si>
    <t>Դատախազության և քննչական համակարգի ունկնդիրների ուսուցման կազմակերպման բաժնի գործավար</t>
  </si>
  <si>
    <t>Գրադարանավար - արխիվավար</t>
  </si>
  <si>
    <t>Վարորդ-սուրհանդակ</t>
  </si>
  <si>
    <t>Ընդամենը՝</t>
  </si>
  <si>
    <t>Ֆինանսական բաժնի ղեկավար-գլխավոր հաշվապահ</t>
  </si>
  <si>
    <t>Առկա, հեռակա և գիտահետազոտական վարչության բաժինների մասնագետներ, այլ մասնագետներ</t>
  </si>
  <si>
    <t>Ամբողջը</t>
  </si>
  <si>
    <t>այլ ապրանքներ և ծառայություններ</t>
  </si>
  <si>
    <r>
      <t xml:space="preserve"> Պետական կազմակերպության անվանումը  </t>
    </r>
    <r>
      <rPr>
        <b/>
        <sz val="12"/>
        <rFont val="GHEA Grapalat"/>
        <family val="3"/>
      </rPr>
      <t>&lt;&lt;Արդարադատության ակադեմիա&gt;&gt; ՊՈԱԿ</t>
    </r>
  </si>
  <si>
    <t xml:space="preserve"> Ռեկտոր</t>
  </si>
  <si>
    <t>2021թ.</t>
  </si>
  <si>
    <t>Ն.Հարությունյան</t>
  </si>
  <si>
    <t xml:space="preserve">Ֆինանսական բաժնի ղեկավար-գլխավոր հաշվապահ                                   </t>
  </si>
  <si>
    <t xml:space="preserve">Ռեկտորի խորհրդական </t>
  </si>
  <si>
    <t>2022թ.</t>
  </si>
  <si>
    <t>Լրացնել ըստ տնտեսագիտական դասակարգման հոդվածների հաշվարկման համար հիմք հանդիսացող գործոնների</t>
  </si>
  <si>
    <t>(քանակ, գին և այլն) իրավական կամ այլ հիմնավորումները</t>
  </si>
  <si>
    <t>09 05 02</t>
  </si>
  <si>
    <t xml:space="preserve">09 05 02 </t>
  </si>
  <si>
    <t>Դրամաշնորհներ, այլ տրանսֆերտային վճարներ (կրթաթոշակ)</t>
  </si>
  <si>
    <t>ուսանողներ</t>
  </si>
  <si>
    <t>Համապատասխան կառույցների հետ բանակցությունների արդյունքները վկայում են թեկնածությունների թվի աճի հավանականության բարձր աստիճանի մասին: Այդ պատճառով կանխատեսվում է, որ Ակադեմիայում 2020-2022 թթ. ընթացքում տարեկան կունկնդրեն առնվազն 60-ական ունկնդիրներ՝ 10-ական ամիս տևողությամբ</t>
  </si>
  <si>
    <t xml:space="preserve">Աշխատավարձի հաշվարկում  պլանավորվել է վարչական, ուսումնաօժանդակ և տնտեսական անձնակազմի աշխատավարձի տարեկան 20%-ի չափով պարգևատրման գումար: Ներառված է նաև դասախոսների  ժամավճարները և վերջնահաշվարկը </t>
  </si>
  <si>
    <t>Ակադեմիայի ռեկտորի հրաման</t>
  </si>
  <si>
    <r>
      <rPr>
        <sz val="10"/>
        <rFont val="Calibri"/>
        <family val="2"/>
        <charset val="204"/>
      </rPr>
      <t>«Արդարադատության Ակադեմիայի մասին» ՀՀ օրենք</t>
    </r>
    <r>
      <rPr>
        <sz val="10"/>
        <rFont val="GHEA Grapalat"/>
        <family val="3"/>
      </rPr>
      <t xml:space="preserve"> 60*111,115*10ամիս</t>
    </r>
  </si>
  <si>
    <t>«Արդարադատության Ակադեմիայի մասին» ՀՀ օրենք</t>
  </si>
  <si>
    <t>«Արդարադատության Ակադեմիայի մասին» ՀՀ օրենք 60*111,115*10ամիս</t>
  </si>
  <si>
    <t>2023թ.</t>
  </si>
  <si>
    <t>Անձնակազմի և փաստաթղթաշրջանառության բաժնի մասնագետ</t>
  </si>
  <si>
    <t>2023թ. ՄԺԾԾ նախագիծ</t>
  </si>
  <si>
    <t>Ակադեմիայի կառավարման խորհրդի կողմից հաստատված հաստիքացուցակ</t>
  </si>
  <si>
    <t xml:space="preserve">Ուսումնական ձեռնարկի տպագրություն </t>
  </si>
  <si>
    <t>Բանբեր գիտագործնական հանդեսի տպագրություն</t>
  </si>
  <si>
    <t xml:space="preserve">Հաշվի առնելով դատավորների և նրանց օգնականների (քրեաիրավական ուղղվածությամբ), դատախազների թվաքանակաը և այլ հնարավոր շահառուները (ձեռնակի հեղինակներ, Արդարադատության ակադեմիայի գրադարան և այլն), անհրաժեշտ կլինի նշված թեմայով ուղեցույցը (ձեռնարկը) տպագրել 120 օրինակով: Էջերի քանակը մոտավորապես կկազմի 120-150 էջ:                                                                                                                      Դասընթացի և ուղեցույցի (ձեռնարկի) կազման նպատակն է՝
• քննիչներին, դատախազներին և դատավորներին ներկայացնել սեռական հանցագործությունների բացահայտման գործում առկա լավագույն փորձը, 
• երեխաների նկատմամբ բռնության, սեռական անձեռնմխելիության և սեռական ազատության դեմ ուղղված  հանցագործությունների վերաբերյալ գործերով  քննության հարցում քննիչներին, դատախազներին և դատավորների հմտությունների զարգացումը:  
</t>
  </si>
  <si>
    <t>2024թ. ՄԺԾԾ նախագիծ</t>
  </si>
  <si>
    <t>Շ»ÝùÇ Ù³Ï»ñ»ëÁ Ù2</t>
  </si>
  <si>
    <t>հոսթինգ</t>
  </si>
  <si>
    <t>ՀՀ  պետական մարմինների վարչական շենքերի և շինությունների 2022-2024 թվականի ջեռուցման համար անհրաժեշտ  ծախսերի</t>
  </si>
  <si>
    <t>մաքրող լաթ փոշիների</t>
  </si>
  <si>
    <t>քարթրիջ</t>
  </si>
  <si>
    <t>2024թ.</t>
  </si>
  <si>
    <t xml:space="preserve">                                 2023-2025թ. վերապատրաստման ինստիտուտներում ունկնդիրների թիվը       </t>
  </si>
  <si>
    <t>2021թ. փաստացի</t>
  </si>
  <si>
    <t xml:space="preserve"> 2022թ.</t>
  </si>
  <si>
    <t>2025թ.</t>
  </si>
  <si>
    <t>Կենցաղային ապրանքներ 2023-2025թթ.</t>
  </si>
  <si>
    <r>
      <t xml:space="preserve">2023-2025թթ </t>
    </r>
    <r>
      <rPr>
        <b/>
        <sz val="10"/>
        <rFont val="GHEA Grapalat"/>
        <family val="3"/>
      </rPr>
      <t>խմելու ջրի մատակարարման և ջրահեռացման</t>
    </r>
    <r>
      <rPr>
        <sz val="10"/>
        <rFont val="GHEA Grapalat"/>
        <family val="3"/>
      </rPr>
      <t xml:space="preserve"> ծառայությունների  վճարների</t>
    </r>
  </si>
  <si>
    <t>ՀՀ  պետական  մարմինների 2023-2025 թվականի  կապի ծառայությունների  վճարների</t>
  </si>
  <si>
    <t>2023-2025թ.</t>
  </si>
  <si>
    <t>Տրանսպորտային նյութեր   2023-2025թթ.</t>
  </si>
  <si>
    <t>Ճանապարհային տրանսպորտային միջոցների տեխնիկական վերահսկողության և բնապահպանական վճարների մասին 2023-2025թթ.</t>
  </si>
  <si>
    <t>2021թ. Փաստացի</t>
  </si>
  <si>
    <t xml:space="preserve">2022թ.սպասվելիք կատարողականը  </t>
  </si>
  <si>
    <t>2025թ. ՄԺԾԾ նախագիծ</t>
  </si>
  <si>
    <t>2023-2025թթ. տպագրական աշխատանքների ձեռբերման ծախսեր</t>
  </si>
  <si>
    <r>
      <t xml:space="preserve">2023-2025թթ </t>
    </r>
    <r>
      <rPr>
        <b/>
        <sz val="10"/>
        <rFont val="GHEA Grapalat"/>
        <family val="3"/>
      </rPr>
      <t>էլեկտրաէներգիայի</t>
    </r>
    <r>
      <rPr>
        <sz val="10"/>
        <rFont val="GHEA Grapalat"/>
        <family val="3"/>
      </rPr>
      <t xml:space="preserve"> ծախսերի </t>
    </r>
  </si>
  <si>
    <t xml:space="preserve">2021թ. Փաստացի </t>
  </si>
  <si>
    <t>Ընդամենը տարեկան ծախսի նորմը (Գկալ/խոր.մետր)</t>
  </si>
  <si>
    <t>Գրասենյակային ապրանքներ 2023-2025թ.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</si>
</sst>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-* #,##0_р_._-;\-* #,##0_р_._-;_-* &quot;-&quot;_р_._-;_-@_-"/>
    <numFmt numFmtId="165" formatCode="0.0"/>
    <numFmt numFmtId="166" formatCode="_-* #,##0\ _₽_-;\-* #,##0\ _₽_-;_-* &quot;-&quot;??\ _₽_-;_-@_-"/>
  </numFmts>
  <fonts count="81">
    <font>
      <sz val="10"/>
      <name val="Arial"/>
    </font>
    <font>
      <sz val="10"/>
      <name val="GHEA Grapalat"/>
      <family val="3"/>
    </font>
    <font>
      <b/>
      <sz val="10"/>
      <name val="GHEA Grapalat"/>
      <family val="3"/>
    </font>
    <font>
      <b/>
      <sz val="8"/>
      <name val="GHEA Grapalat"/>
      <family val="3"/>
    </font>
    <font>
      <sz val="11"/>
      <name val="GHEA Grapalat"/>
      <family val="3"/>
    </font>
    <font>
      <sz val="8"/>
      <name val="GHEA Grapalat"/>
      <family val="3"/>
    </font>
    <font>
      <b/>
      <sz val="11"/>
      <name val="GHEA Grapalat"/>
      <family val="3"/>
    </font>
    <font>
      <b/>
      <i/>
      <sz val="10"/>
      <name val="GHEA Grapalat"/>
      <family val="3"/>
    </font>
    <font>
      <sz val="10"/>
      <name val="Arial"/>
      <family val="2"/>
    </font>
    <font>
      <sz val="9"/>
      <name val="GHEA Grapalat"/>
      <family val="3"/>
    </font>
    <font>
      <sz val="10"/>
      <name val="Arial"/>
      <family val="2"/>
      <charset val="204"/>
    </font>
    <font>
      <u/>
      <sz val="12"/>
      <name val="GHEA Grapalat"/>
      <family val="3"/>
    </font>
    <font>
      <sz val="12"/>
      <name val="Arial"/>
      <family val="2"/>
      <charset val="204"/>
    </font>
    <font>
      <sz val="8"/>
      <name val="Arial"/>
      <family val="2"/>
      <charset val="204"/>
    </font>
    <font>
      <sz val="10"/>
      <name val="Arial LatArm"/>
      <family val="2"/>
    </font>
    <font>
      <sz val="10"/>
      <color indexed="8"/>
      <name val="GHEA Grapalat"/>
      <family val="3"/>
    </font>
    <font>
      <sz val="10"/>
      <color indexed="8"/>
      <name val="Arial LatArm"/>
      <family val="2"/>
    </font>
    <font>
      <sz val="11"/>
      <name val="Arial LatArm"/>
      <family val="2"/>
    </font>
    <font>
      <u/>
      <sz val="10"/>
      <name val="GHEA Grapalat"/>
      <family val="3"/>
    </font>
    <font>
      <sz val="8"/>
      <name val="Arial LatArm"/>
      <family val="2"/>
    </font>
    <font>
      <b/>
      <sz val="8"/>
      <name val="Arial LatArm"/>
      <family val="2"/>
    </font>
    <font>
      <sz val="9"/>
      <name val="Arial Armenian"/>
      <family val="2"/>
    </font>
    <font>
      <sz val="10"/>
      <color indexed="8"/>
      <name val="MS Sans Serif"/>
      <family val="2"/>
      <charset val="204"/>
    </font>
    <font>
      <b/>
      <sz val="9"/>
      <name val="Arial LatArm"/>
      <family val="2"/>
    </font>
    <font>
      <b/>
      <sz val="10"/>
      <name val="Arial LatArm"/>
      <family val="2"/>
    </font>
    <font>
      <b/>
      <i/>
      <sz val="8"/>
      <name val="GHEA Grapalat"/>
      <family val="3"/>
    </font>
    <font>
      <b/>
      <sz val="9"/>
      <name val="GHEA Grapalat"/>
      <family val="3"/>
    </font>
    <font>
      <b/>
      <sz val="7"/>
      <name val="GHEA Grapalat"/>
      <family val="3"/>
    </font>
    <font>
      <sz val="10"/>
      <name val="Times Armenian"/>
      <family val="1"/>
    </font>
    <font>
      <sz val="12"/>
      <name val="GHEA Grapalat"/>
      <family val="3"/>
    </font>
    <font>
      <i/>
      <sz val="10"/>
      <name val="GHEA Grapalat"/>
      <family val="3"/>
    </font>
    <font>
      <b/>
      <sz val="10"/>
      <name val="Arial Armenian"/>
      <family val="2"/>
    </font>
    <font>
      <sz val="10"/>
      <name val="Arial Armenian"/>
      <family val="2"/>
    </font>
    <font>
      <b/>
      <sz val="10"/>
      <name val="Arial"/>
      <family val="2"/>
      <charset val="204"/>
    </font>
    <font>
      <b/>
      <u/>
      <sz val="12"/>
      <name val="GHEA Grapalat"/>
      <family val="3"/>
    </font>
    <font>
      <b/>
      <i/>
      <sz val="13"/>
      <name val="Arial Armenian"/>
      <family val="2"/>
    </font>
    <font>
      <b/>
      <sz val="12"/>
      <name val="GHEA Grapalat"/>
      <family val="3"/>
    </font>
    <font>
      <b/>
      <sz val="12"/>
      <name val="Arial"/>
      <family val="2"/>
      <charset val="204"/>
    </font>
    <font>
      <b/>
      <i/>
      <sz val="10"/>
      <name val="Arial Armenian"/>
      <family val="2"/>
    </font>
    <font>
      <b/>
      <sz val="12"/>
      <name val="Arial Armenian"/>
      <family val="2"/>
    </font>
    <font>
      <b/>
      <i/>
      <sz val="12"/>
      <name val="Arial Armenian"/>
      <family val="2"/>
    </font>
    <font>
      <sz val="10"/>
      <color indexed="10"/>
      <name val="GHEA Grapalat"/>
      <family val="3"/>
    </font>
    <font>
      <sz val="9.5"/>
      <name val="GHEA Grapalat"/>
      <family val="3"/>
    </font>
    <font>
      <b/>
      <sz val="12"/>
      <color indexed="10"/>
      <name val="GHEA Grapalat"/>
      <family val="3"/>
    </font>
    <font>
      <i/>
      <sz val="8"/>
      <name val="GHEA Grapalat"/>
      <family val="3"/>
    </font>
    <font>
      <b/>
      <sz val="9"/>
      <color indexed="10"/>
      <name val="GHEA Grapalat"/>
      <family val="3"/>
    </font>
    <font>
      <i/>
      <sz val="10"/>
      <color indexed="10"/>
      <name val="GHEA Grapalat"/>
      <family val="3"/>
    </font>
    <font>
      <i/>
      <sz val="12"/>
      <name val="GHEA Grapalat"/>
      <family val="3"/>
    </font>
    <font>
      <i/>
      <sz val="11"/>
      <name val="GHEA Grapalat"/>
      <family val="3"/>
    </font>
    <font>
      <sz val="11"/>
      <name val="Arial"/>
      <family val="2"/>
      <charset val="204"/>
    </font>
    <font>
      <sz val="1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GHEA Grapalat"/>
      <family val="3"/>
    </font>
    <font>
      <sz val="10"/>
      <color theme="0"/>
      <name val="GHEA Grapalat"/>
      <family val="3"/>
    </font>
    <font>
      <sz val="10"/>
      <color rgb="FFFF0000"/>
      <name val="GHEA Grapalat"/>
      <family val="3"/>
    </font>
    <font>
      <sz val="10"/>
      <color theme="1"/>
      <name val="Arial LatArm"/>
      <family val="2"/>
    </font>
    <font>
      <sz val="9"/>
      <color theme="1"/>
      <name val="Arial LatArm"/>
      <family val="2"/>
    </font>
    <font>
      <sz val="8"/>
      <color theme="1"/>
      <name val="Arial LatArm"/>
      <family val="2"/>
    </font>
    <font>
      <sz val="9"/>
      <color theme="0"/>
      <name val="GHEA Grapalat"/>
      <family val="3"/>
    </font>
    <font>
      <sz val="8"/>
      <color theme="0"/>
      <name val="GHEA Grapalat"/>
      <family val="3"/>
    </font>
    <font>
      <b/>
      <sz val="8"/>
      <color theme="0"/>
      <name val="GHEA Grapalat"/>
      <family val="3"/>
    </font>
    <font>
      <sz val="10"/>
      <color rgb="FF7030A0"/>
      <name val="Arial Armenian"/>
      <family val="2"/>
    </font>
    <font>
      <b/>
      <sz val="10"/>
      <color rgb="FF7030A0"/>
      <name val="Arial"/>
      <family val="2"/>
      <charset val="204"/>
    </font>
    <font>
      <b/>
      <sz val="10"/>
      <color rgb="FF7030A0"/>
      <name val="Arial Armenian"/>
      <family val="2"/>
    </font>
    <font>
      <sz val="11"/>
      <color theme="1"/>
      <name val="Arial Armenian"/>
      <family val="2"/>
    </font>
    <font>
      <b/>
      <sz val="10"/>
      <color rgb="FFFF0000"/>
      <name val="GHEA Grapalat"/>
      <family val="3"/>
    </font>
    <font>
      <sz val="9"/>
      <color rgb="FFFF0000"/>
      <name val="GHEA Grapalat"/>
      <family val="3"/>
    </font>
    <font>
      <sz val="12"/>
      <color rgb="FFFF0000"/>
      <name val="GHEA Grapalat"/>
      <family val="3"/>
    </font>
    <font>
      <b/>
      <sz val="10"/>
      <color theme="1"/>
      <name val="GHEA Grapalat"/>
      <family val="3"/>
    </font>
    <font>
      <sz val="10"/>
      <name val="Arial"/>
      <family val="2"/>
    </font>
    <font>
      <b/>
      <i/>
      <sz val="10"/>
      <color theme="1"/>
      <name val="GHEA Grapalat"/>
      <family val="3"/>
    </font>
    <font>
      <b/>
      <sz val="12"/>
      <color theme="1"/>
      <name val="GHEA Grapalat"/>
      <family val="3"/>
    </font>
    <font>
      <b/>
      <sz val="11"/>
      <color theme="1"/>
      <name val="GHEA Grapalat"/>
      <family val="3"/>
    </font>
    <font>
      <b/>
      <sz val="11"/>
      <color theme="1"/>
      <name val="Calibri"/>
      <family val="2"/>
      <charset val="204"/>
      <scheme val="minor"/>
    </font>
    <font>
      <sz val="12"/>
      <name val="Arial"/>
      <family val="2"/>
    </font>
    <font>
      <sz val="11"/>
      <color theme="0"/>
      <name val="GHEA Grapalat"/>
      <family val="3"/>
    </font>
    <font>
      <sz val="11"/>
      <color rgb="FFFF0000"/>
      <name val="GHEA Grapalat"/>
      <family val="3"/>
    </font>
    <font>
      <sz val="8"/>
      <name val="Calibri"/>
      <family val="2"/>
      <charset val="204"/>
    </font>
    <font>
      <sz val="11"/>
      <color indexed="8"/>
      <name val="GHEA Grapalat"/>
      <family val="3"/>
    </font>
    <font>
      <i/>
      <sz val="10"/>
      <color theme="1"/>
      <name val="Arial Armenian"/>
      <family val="2"/>
    </font>
    <font>
      <sz val="10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2">
    <xf numFmtId="0" fontId="0" fillId="0" borderId="0"/>
    <xf numFmtId="0" fontId="10" fillId="0" borderId="0"/>
    <xf numFmtId="0" fontId="10" fillId="0" borderId="0"/>
    <xf numFmtId="0" fontId="10" fillId="0" borderId="0"/>
    <xf numFmtId="0" fontId="32" fillId="0" borderId="0"/>
    <xf numFmtId="0" fontId="32" fillId="0" borderId="0"/>
    <xf numFmtId="0" fontId="8" fillId="0" borderId="0"/>
    <xf numFmtId="0" fontId="8" fillId="0" borderId="0"/>
    <xf numFmtId="0" fontId="10" fillId="0" borderId="0"/>
    <xf numFmtId="0" fontId="51" fillId="0" borderId="0"/>
    <xf numFmtId="0" fontId="10" fillId="0" borderId="0"/>
    <xf numFmtId="43" fontId="69" fillId="0" borderId="0" applyFont="0" applyFill="0" applyBorder="0" applyAlignment="0" applyProtection="0"/>
  </cellStyleXfs>
  <cellXfs count="505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0" xfId="0" applyFont="1" applyBorder="1"/>
    <xf numFmtId="0" fontId="2" fillId="0" borderId="0" xfId="0" applyFont="1"/>
    <xf numFmtId="0" fontId="2" fillId="0" borderId="2" xfId="0" applyFont="1" applyBorder="1"/>
    <xf numFmtId="0" fontId="3" fillId="0" borderId="2" xfId="0" applyFont="1" applyBorder="1"/>
    <xf numFmtId="0" fontId="1" fillId="0" borderId="0" xfId="0" applyFont="1" applyBorder="1"/>
    <xf numFmtId="0" fontId="2" fillId="0" borderId="3" xfId="0" applyFont="1" applyBorder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1" fillId="2" borderId="0" xfId="0" quotePrefix="1" applyFont="1" applyFill="1" applyBorder="1" applyAlignment="1">
      <alignment horizontal="left" wrapText="1"/>
    </xf>
    <xf numFmtId="0" fontId="1" fillId="2" borderId="0" xfId="0" applyFont="1" applyFill="1" applyBorder="1"/>
    <xf numFmtId="0" fontId="1" fillId="0" borderId="3" xfId="0" applyFont="1" applyBorder="1"/>
    <xf numFmtId="0" fontId="1" fillId="2" borderId="3" xfId="0" applyFont="1" applyFill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2" borderId="3" xfId="0" quotePrefix="1" applyFont="1" applyFill="1" applyBorder="1" applyAlignment="1">
      <alignment horizontal="center" vertical="center" wrapText="1"/>
    </xf>
    <xf numFmtId="0" fontId="1" fillId="0" borderId="3" xfId="0" quotePrefix="1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top" wrapText="1"/>
    </xf>
    <xf numFmtId="0" fontId="1" fillId="0" borderId="3" xfId="0" quotePrefix="1" applyFont="1" applyBorder="1" applyAlignment="1">
      <alignment horizontal="center" vertical="center" wrapText="1"/>
    </xf>
    <xf numFmtId="0" fontId="1" fillId="0" borderId="3" xfId="0" applyFont="1" applyBorder="1" applyAlignment="1">
      <alignment wrapText="1"/>
    </xf>
    <xf numFmtId="165" fontId="2" fillId="0" borderId="3" xfId="0" applyNumberFormat="1" applyFont="1" applyBorder="1" applyAlignment="1">
      <alignment wrapText="1"/>
    </xf>
    <xf numFmtId="0" fontId="1" fillId="2" borderId="3" xfId="0" quotePrefix="1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1" fillId="0" borderId="2" xfId="0" applyFont="1" applyBorder="1"/>
    <xf numFmtId="0" fontId="1" fillId="0" borderId="1" xfId="0" applyFont="1" applyBorder="1"/>
    <xf numFmtId="0" fontId="5" fillId="0" borderId="2" xfId="0" applyFont="1" applyBorder="1"/>
    <xf numFmtId="0" fontId="1" fillId="0" borderId="3" xfId="0" applyFont="1" applyBorder="1" applyAlignment="1">
      <alignment horizontal="centerContinuous" wrapText="1"/>
    </xf>
    <xf numFmtId="0" fontId="1" fillId="0" borderId="3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wrapText="1"/>
    </xf>
    <xf numFmtId="0" fontId="1" fillId="0" borderId="6" xfId="0" applyFont="1" applyBorder="1" applyAlignment="1">
      <alignment horizontal="left" wrapText="1"/>
    </xf>
    <xf numFmtId="0" fontId="53" fillId="0" borderId="0" xfId="0" applyFont="1"/>
    <xf numFmtId="0" fontId="1" fillId="0" borderId="3" xfId="0" applyFont="1" applyBorder="1" applyAlignment="1">
      <alignment horizontal="center"/>
    </xf>
    <xf numFmtId="0" fontId="2" fillId="0" borderId="3" xfId="0" applyFont="1" applyFill="1" applyBorder="1" applyAlignment="1">
      <alignment wrapText="1"/>
    </xf>
    <xf numFmtId="0" fontId="1" fillId="0" borderId="0" xfId="0" applyFont="1" applyFill="1"/>
    <xf numFmtId="0" fontId="1" fillId="0" borderId="3" xfId="0" applyFont="1" applyFill="1" applyBorder="1" applyAlignment="1">
      <alignment wrapText="1"/>
    </xf>
    <xf numFmtId="0" fontId="0" fillId="0" borderId="3" xfId="0" applyBorder="1"/>
    <xf numFmtId="0" fontId="0" fillId="0" borderId="3" xfId="0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2" xfId="0" applyFont="1" applyBorder="1" applyAlignment="1">
      <alignment horizontal="center"/>
    </xf>
    <xf numFmtId="0" fontId="55" fillId="10" borderId="3" xfId="0" applyFont="1" applyFill="1" applyBorder="1" applyAlignment="1">
      <alignment horizontal="center" vertical="center" wrapText="1"/>
    </xf>
    <xf numFmtId="0" fontId="14" fillId="10" borderId="3" xfId="0" applyFont="1" applyFill="1" applyBorder="1" applyAlignment="1">
      <alignment horizontal="center" vertical="center"/>
    </xf>
    <xf numFmtId="0" fontId="14" fillId="10" borderId="3" xfId="0" applyNumberFormat="1" applyFont="1" applyFill="1" applyBorder="1" applyAlignment="1">
      <alignment horizontal="center" vertical="center" wrapText="1"/>
    </xf>
    <xf numFmtId="0" fontId="55" fillId="10" borderId="3" xfId="0" applyFont="1" applyFill="1" applyBorder="1" applyAlignment="1">
      <alignment horizontal="center" vertical="center"/>
    </xf>
    <xf numFmtId="0" fontId="14" fillId="10" borderId="3" xfId="0" applyFont="1" applyFill="1" applyBorder="1" applyAlignment="1">
      <alignment horizontal="left" vertical="center" wrapText="1"/>
    </xf>
    <xf numFmtId="0" fontId="14" fillId="10" borderId="3" xfId="0" applyFont="1" applyFill="1" applyBorder="1" applyAlignment="1">
      <alignment horizontal="center" vertical="center" wrapText="1"/>
    </xf>
    <xf numFmtId="0" fontId="12" fillId="0" borderId="0" xfId="0" applyFont="1"/>
    <xf numFmtId="0" fontId="0" fillId="0" borderId="0" xfId="0" applyBorder="1"/>
    <xf numFmtId="0" fontId="0" fillId="0" borderId="2" xfId="0" applyBorder="1"/>
    <xf numFmtId="0" fontId="12" fillId="0" borderId="2" xfId="0" applyFont="1" applyBorder="1" applyAlignment="1">
      <alignment horizontal="center" vertical="top"/>
    </xf>
    <xf numFmtId="0" fontId="0" fillId="0" borderId="6" xfId="0" applyBorder="1"/>
    <xf numFmtId="0" fontId="0" fillId="0" borderId="6" xfId="0" applyBorder="1" applyAlignment="1">
      <alignment horizontal="center"/>
    </xf>
    <xf numFmtId="0" fontId="14" fillId="10" borderId="4" xfId="0" applyFont="1" applyFill="1" applyBorder="1" applyAlignment="1">
      <alignment horizontal="left" vertical="center" wrapText="1"/>
    </xf>
    <xf numFmtId="0" fontId="56" fillId="10" borderId="3" xfId="0" applyFont="1" applyFill="1" applyBorder="1" applyAlignment="1">
      <alignment horizontal="center" vertical="center" wrapText="1"/>
    </xf>
    <xf numFmtId="0" fontId="57" fillId="10" borderId="3" xfId="0" applyFont="1" applyFill="1" applyBorder="1" applyAlignment="1">
      <alignment horizontal="center" vertical="center" wrapText="1"/>
    </xf>
    <xf numFmtId="0" fontId="10" fillId="0" borderId="0" xfId="0" applyFont="1"/>
    <xf numFmtId="0" fontId="17" fillId="10" borderId="3" xfId="0" applyFont="1" applyFill="1" applyBorder="1"/>
    <xf numFmtId="0" fontId="1" fillId="0" borderId="0" xfId="2" applyFont="1"/>
    <xf numFmtId="0" fontId="18" fillId="2" borderId="0" xfId="2" applyFont="1" applyFill="1" applyBorder="1" applyAlignment="1">
      <alignment horizontal="left" wrapText="1"/>
    </xf>
    <xf numFmtId="0" fontId="1" fillId="0" borderId="0" xfId="2" applyFont="1" applyFill="1" applyBorder="1" applyAlignment="1">
      <alignment horizontal="centerContinuous" wrapText="1"/>
    </xf>
    <xf numFmtId="0" fontId="2" fillId="2" borderId="0" xfId="2" applyFont="1" applyFill="1" applyBorder="1" applyAlignment="1">
      <alignment horizontal="centerContinuous" wrapText="1"/>
    </xf>
    <xf numFmtId="0" fontId="1" fillId="0" borderId="0" xfId="2" applyFont="1" applyBorder="1" applyAlignment="1">
      <alignment horizontal="centerContinuous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Continuous"/>
    </xf>
    <xf numFmtId="0" fontId="1" fillId="2" borderId="0" xfId="0" applyFont="1" applyFill="1" applyAlignment="1">
      <alignment horizontal="centerContinuous" wrapText="1"/>
    </xf>
    <xf numFmtId="0" fontId="1" fillId="0" borderId="0" xfId="0" applyFont="1" applyAlignment="1">
      <alignment horizontal="centerContinuous" wrapText="1"/>
    </xf>
    <xf numFmtId="0" fontId="1" fillId="2" borderId="0" xfId="8" applyFont="1" applyFill="1" applyAlignment="1">
      <alignment horizontal="center" wrapText="1"/>
    </xf>
    <xf numFmtId="0" fontId="1" fillId="2" borderId="0" xfId="8" applyFont="1" applyFill="1" applyAlignment="1">
      <alignment wrapText="1"/>
    </xf>
    <xf numFmtId="0" fontId="1" fillId="0" borderId="0" xfId="8" applyFont="1" applyAlignment="1">
      <alignment wrapText="1"/>
    </xf>
    <xf numFmtId="0" fontId="19" fillId="2" borderId="3" xfId="8" applyFont="1" applyFill="1" applyBorder="1" applyAlignment="1">
      <alignment horizontal="center"/>
    </xf>
    <xf numFmtId="0" fontId="20" fillId="2" borderId="3" xfId="8" applyFont="1" applyFill="1" applyBorder="1" applyAlignment="1">
      <alignment horizontal="center" vertical="center" wrapText="1"/>
    </xf>
    <xf numFmtId="165" fontId="20" fillId="0" borderId="3" xfId="8" applyNumberFormat="1" applyFont="1" applyBorder="1" applyAlignment="1">
      <alignment horizontal="center" vertical="center" wrapText="1"/>
    </xf>
    <xf numFmtId="0" fontId="9" fillId="0" borderId="0" xfId="2" applyFont="1"/>
    <xf numFmtId="0" fontId="58" fillId="0" borderId="0" xfId="2" applyFont="1"/>
    <xf numFmtId="0" fontId="20" fillId="0" borderId="3" xfId="8" applyFont="1" applyBorder="1" applyAlignment="1">
      <alignment horizontal="center"/>
    </xf>
    <xf numFmtId="0" fontId="20" fillId="0" borderId="3" xfId="8" applyFont="1" applyBorder="1" applyAlignment="1">
      <alignment horizontal="center" wrapText="1"/>
    </xf>
    <xf numFmtId="0" fontId="19" fillId="0" borderId="3" xfId="8" applyFont="1" applyBorder="1" applyAlignment="1">
      <alignment horizontal="center"/>
    </xf>
    <xf numFmtId="0" fontId="19" fillId="0" borderId="3" xfId="8" applyFont="1" applyBorder="1" applyAlignment="1">
      <alignment horizontal="center" wrapText="1"/>
    </xf>
    <xf numFmtId="0" fontId="19" fillId="2" borderId="3" xfId="8" applyFont="1" applyFill="1" applyBorder="1" applyAlignment="1">
      <alignment horizontal="center" wrapText="1"/>
    </xf>
    <xf numFmtId="0" fontId="21" fillId="0" borderId="3" xfId="1" applyFont="1" applyBorder="1" applyAlignment="1">
      <alignment horizontal="center" wrapText="1"/>
    </xf>
    <xf numFmtId="0" fontId="14" fillId="0" borderId="3" xfId="8" applyFont="1" applyBorder="1" applyAlignment="1">
      <alignment horizontal="center"/>
    </xf>
    <xf numFmtId="0" fontId="14" fillId="0" borderId="3" xfId="10" applyFont="1" applyBorder="1" applyAlignment="1">
      <alignment horizontal="center"/>
    </xf>
    <xf numFmtId="165" fontId="16" fillId="0" borderId="3" xfId="8" applyNumberFormat="1" applyFont="1" applyBorder="1" applyAlignment="1">
      <alignment horizontal="center"/>
    </xf>
    <xf numFmtId="0" fontId="10" fillId="0" borderId="3" xfId="8" applyBorder="1"/>
    <xf numFmtId="0" fontId="58" fillId="0" borderId="0" xfId="2" applyFont="1" applyBorder="1"/>
    <xf numFmtId="0" fontId="9" fillId="0" borderId="0" xfId="2" applyFont="1" applyBorder="1"/>
    <xf numFmtId="0" fontId="53" fillId="0" borderId="0" xfId="8" applyFont="1" applyBorder="1" applyAlignment="1">
      <alignment horizontal="center" wrapText="1"/>
    </xf>
    <xf numFmtId="0" fontId="53" fillId="2" borderId="0" xfId="8" applyFont="1" applyFill="1" applyBorder="1" applyAlignment="1">
      <alignment horizontal="center" wrapText="1"/>
    </xf>
    <xf numFmtId="0" fontId="1" fillId="0" borderId="0" xfId="8" applyFont="1" applyBorder="1" applyAlignment="1">
      <alignment horizontal="center" wrapText="1"/>
    </xf>
    <xf numFmtId="0" fontId="9" fillId="0" borderId="0" xfId="1" applyFont="1" applyBorder="1" applyAlignment="1">
      <alignment horizontal="center" wrapText="1"/>
    </xf>
    <xf numFmtId="0" fontId="1" fillId="0" borderId="0" xfId="8" applyFont="1" applyBorder="1" applyAlignment="1">
      <alignment horizontal="center"/>
    </xf>
    <xf numFmtId="0" fontId="23" fillId="0" borderId="3" xfId="8" applyFont="1" applyBorder="1" applyAlignment="1">
      <alignment horizontal="center" wrapText="1"/>
    </xf>
    <xf numFmtId="0" fontId="24" fillId="0" borderId="3" xfId="8" applyFont="1" applyBorder="1" applyAlignment="1">
      <alignment horizontal="center"/>
    </xf>
    <xf numFmtId="165" fontId="23" fillId="0" borderId="3" xfId="8" applyNumberFormat="1" applyFont="1" applyBorder="1" applyAlignment="1">
      <alignment horizontal="center" wrapText="1"/>
    </xf>
    <xf numFmtId="165" fontId="24" fillId="0" borderId="3" xfId="8" applyNumberFormat="1" applyFont="1" applyBorder="1" applyAlignment="1">
      <alignment horizontal="center"/>
    </xf>
    <xf numFmtId="0" fontId="22" fillId="0" borderId="0" xfId="8" applyFont="1"/>
    <xf numFmtId="0" fontId="1" fillId="0" borderId="0" xfId="8" applyFont="1"/>
    <xf numFmtId="0" fontId="15" fillId="0" borderId="0" xfId="8" applyFont="1"/>
    <xf numFmtId="0" fontId="53" fillId="0" borderId="0" xfId="8" applyFont="1"/>
    <xf numFmtId="0" fontId="4" fillId="0" borderId="0" xfId="0" applyFont="1"/>
    <xf numFmtId="0" fontId="9" fillId="0" borderId="0" xfId="2" applyFont="1" applyAlignment="1">
      <alignment horizontal="centerContinuous" wrapText="1"/>
    </xf>
    <xf numFmtId="0" fontId="9" fillId="0" borderId="0" xfId="0" applyFont="1" applyAlignment="1">
      <alignment wrapText="1"/>
    </xf>
    <xf numFmtId="0" fontId="4" fillId="0" borderId="0" xfId="0" applyFont="1" applyBorder="1"/>
    <xf numFmtId="0" fontId="2" fillId="2" borderId="0" xfId="0" applyFont="1" applyFill="1" applyBorder="1" applyAlignment="1">
      <alignment horizontal="centerContinuous" wrapText="1"/>
    </xf>
    <xf numFmtId="0" fontId="3" fillId="2" borderId="0" xfId="0" applyFont="1" applyFill="1" applyBorder="1" applyAlignment="1">
      <alignment horizontal="centerContinuous" wrapText="1"/>
    </xf>
    <xf numFmtId="0" fontId="1" fillId="0" borderId="0" xfId="0" applyFont="1" applyAlignment="1">
      <alignment horizontal="center"/>
    </xf>
    <xf numFmtId="0" fontId="18" fillId="0" borderId="0" xfId="0" applyFont="1" applyFill="1" applyBorder="1" applyAlignment="1">
      <alignment horizontal="left" wrapText="1"/>
    </xf>
    <xf numFmtId="0" fontId="53" fillId="2" borderId="0" xfId="0" applyFont="1" applyFill="1" applyAlignment="1">
      <alignment horizontal="center"/>
    </xf>
    <xf numFmtId="0" fontId="5" fillId="2" borderId="3" xfId="1" applyFont="1" applyFill="1" applyBorder="1" applyAlignment="1">
      <alignment horizontal="center" wrapText="1"/>
    </xf>
    <xf numFmtId="0" fontId="5" fillId="2" borderId="3" xfId="1" applyFont="1" applyFill="1" applyBorder="1" applyAlignment="1">
      <alignment wrapText="1"/>
    </xf>
    <xf numFmtId="0" fontId="5" fillId="0" borderId="3" xfId="1" applyFont="1" applyBorder="1" applyAlignment="1">
      <alignment horizontal="center" wrapText="1"/>
    </xf>
    <xf numFmtId="0" fontId="25" fillId="2" borderId="3" xfId="1" applyFont="1" applyFill="1" applyBorder="1" applyAlignment="1">
      <alignment horizontal="center" wrapText="1"/>
    </xf>
    <xf numFmtId="0" fontId="5" fillId="0" borderId="0" xfId="1" applyFont="1"/>
    <xf numFmtId="0" fontId="5" fillId="0" borderId="3" xfId="1" applyFont="1" applyBorder="1" applyAlignment="1">
      <alignment horizontal="center"/>
    </xf>
    <xf numFmtId="0" fontId="59" fillId="0" borderId="0" xfId="1" applyFont="1"/>
    <xf numFmtId="0" fontId="9" fillId="0" borderId="3" xfId="1" applyFont="1" applyBorder="1" applyAlignment="1">
      <alignment wrapText="1"/>
    </xf>
    <xf numFmtId="0" fontId="9" fillId="0" borderId="3" xfId="1" applyFont="1" applyBorder="1" applyAlignment="1">
      <alignment horizontal="center" wrapText="1"/>
    </xf>
    <xf numFmtId="0" fontId="1" fillId="0" borderId="3" xfId="8" applyFont="1" applyBorder="1" applyAlignment="1">
      <alignment horizontal="center" wrapText="1"/>
    </xf>
    <xf numFmtId="165" fontId="1" fillId="0" borderId="3" xfId="1" applyNumberFormat="1" applyFont="1" applyBorder="1" applyAlignment="1">
      <alignment horizontal="center"/>
    </xf>
    <xf numFmtId="0" fontId="1" fillId="0" borderId="0" xfId="1" applyFont="1"/>
    <xf numFmtId="0" fontId="53" fillId="0" borderId="0" xfId="1" applyFont="1"/>
    <xf numFmtId="0" fontId="9" fillId="0" borderId="3" xfId="8" applyFont="1" applyBorder="1" applyAlignment="1">
      <alignment wrapText="1"/>
    </xf>
    <xf numFmtId="165" fontId="9" fillId="0" borderId="3" xfId="1" applyNumberFormat="1" applyFont="1" applyBorder="1" applyAlignment="1">
      <alignment horizontal="center" wrapText="1"/>
    </xf>
    <xf numFmtId="0" fontId="1" fillId="0" borderId="0" xfId="1" applyFont="1" applyFill="1"/>
    <xf numFmtId="0" fontId="53" fillId="0" borderId="0" xfId="1" applyFont="1" applyFill="1"/>
    <xf numFmtId="0" fontId="9" fillId="0" borderId="3" xfId="8" applyFont="1" applyBorder="1" applyAlignment="1">
      <alignment horizontal="center" wrapText="1"/>
    </xf>
    <xf numFmtId="165" fontId="9" fillId="0" borderId="3" xfId="8" applyNumberFormat="1" applyFont="1" applyBorder="1" applyAlignment="1">
      <alignment horizontal="center" wrapText="1"/>
    </xf>
    <xf numFmtId="0" fontId="5" fillId="0" borderId="0" xfId="8" applyFont="1" applyFill="1"/>
    <xf numFmtId="0" fontId="59" fillId="0" borderId="0" xfId="8" applyFont="1" applyFill="1"/>
    <xf numFmtId="0" fontId="3" fillId="0" borderId="3" xfId="1" applyFont="1" applyBorder="1" applyAlignment="1">
      <alignment horizontal="center"/>
    </xf>
    <xf numFmtId="0" fontId="6" fillId="0" borderId="3" xfId="1" applyFont="1" applyBorder="1" applyAlignment="1">
      <alignment wrapText="1"/>
    </xf>
    <xf numFmtId="0" fontId="26" fillId="0" borderId="3" xfId="1" applyFont="1" applyBorder="1" applyAlignment="1">
      <alignment horizontal="center" wrapText="1"/>
    </xf>
    <xf numFmtId="165" fontId="2" fillId="0" borderId="3" xfId="1" applyNumberFormat="1" applyFont="1" applyBorder="1" applyAlignment="1">
      <alignment horizontal="center" wrapText="1"/>
    </xf>
    <xf numFmtId="165" fontId="1" fillId="0" borderId="0" xfId="8" applyNumberFormat="1" applyFont="1" applyFill="1"/>
    <xf numFmtId="165" fontId="53" fillId="0" borderId="0" xfId="8" applyNumberFormat="1" applyFont="1" applyFill="1"/>
    <xf numFmtId="0" fontId="1" fillId="0" borderId="0" xfId="1" applyFont="1" applyAlignment="1">
      <alignment horizontal="center"/>
    </xf>
    <xf numFmtId="0" fontId="9" fillId="0" borderId="0" xfId="1" applyFont="1" applyAlignment="1">
      <alignment wrapText="1"/>
    </xf>
    <xf numFmtId="0" fontId="1" fillId="0" borderId="0" xfId="1" applyFont="1" applyAlignment="1">
      <alignment wrapText="1"/>
    </xf>
    <xf numFmtId="0" fontId="27" fillId="0" borderId="0" xfId="8" applyFont="1" applyAlignment="1">
      <alignment wrapText="1"/>
    </xf>
    <xf numFmtId="0" fontId="1" fillId="0" borderId="0" xfId="0" applyFont="1" applyBorder="1" applyAlignment="1">
      <alignment horizontal="centerContinuous"/>
    </xf>
    <xf numFmtId="0" fontId="53" fillId="2" borderId="0" xfId="0" applyFont="1" applyFill="1"/>
    <xf numFmtId="0" fontId="5" fillId="2" borderId="3" xfId="1" applyFont="1" applyFill="1" applyBorder="1" applyAlignment="1">
      <alignment horizontal="center"/>
    </xf>
    <xf numFmtId="0" fontId="5" fillId="0" borderId="3" xfId="1" applyFont="1" applyBorder="1" applyAlignment="1">
      <alignment horizontal="centerContinuous" wrapText="1"/>
    </xf>
    <xf numFmtId="0" fontId="9" fillId="0" borderId="3" xfId="1" applyFont="1" applyBorder="1" applyAlignment="1">
      <alignment horizontal="center"/>
    </xf>
    <xf numFmtId="0" fontId="9" fillId="2" borderId="3" xfId="1" applyFont="1" applyFill="1" applyBorder="1" applyAlignment="1">
      <alignment horizontal="center" wrapText="1"/>
    </xf>
    <xf numFmtId="0" fontId="28" fillId="0" borderId="3" xfId="8" applyFont="1" applyBorder="1" applyAlignment="1">
      <alignment horizontal="center" wrapText="1"/>
    </xf>
    <xf numFmtId="165" fontId="9" fillId="0" borderId="3" xfId="1" applyNumberFormat="1" applyFont="1" applyBorder="1" applyAlignment="1">
      <alignment horizontal="center"/>
    </xf>
    <xf numFmtId="0" fontId="26" fillId="0" borderId="3" xfId="1" applyFont="1" applyBorder="1" applyAlignment="1">
      <alignment horizontal="center"/>
    </xf>
    <xf numFmtId="165" fontId="26" fillId="0" borderId="3" xfId="1" applyNumberFormat="1" applyFont="1" applyBorder="1" applyAlignment="1">
      <alignment horizontal="center" wrapText="1"/>
    </xf>
    <xf numFmtId="165" fontId="1" fillId="0" borderId="0" xfId="8" applyNumberFormat="1" applyFont="1"/>
    <xf numFmtId="165" fontId="53" fillId="0" borderId="0" xfId="8" applyNumberFormat="1" applyFont="1"/>
    <xf numFmtId="0" fontId="26" fillId="2" borderId="0" xfId="1" applyFont="1" applyFill="1" applyBorder="1" applyAlignment="1">
      <alignment horizontal="center"/>
    </xf>
    <xf numFmtId="0" fontId="26" fillId="2" borderId="0" xfId="1" applyFont="1" applyFill="1" applyBorder="1" applyAlignment="1">
      <alignment wrapText="1"/>
    </xf>
    <xf numFmtId="0" fontId="26" fillId="2" borderId="0" xfId="1" applyFont="1" applyFill="1" applyBorder="1" applyAlignment="1">
      <alignment horizontal="center" wrapText="1"/>
    </xf>
    <xf numFmtId="0" fontId="9" fillId="2" borderId="0" xfId="1" applyFont="1" applyFill="1" applyBorder="1" applyAlignment="1">
      <alignment horizontal="centerContinuous" wrapText="1"/>
    </xf>
    <xf numFmtId="165" fontId="9" fillId="2" borderId="0" xfId="1" applyNumberFormat="1" applyFont="1" applyFill="1" applyBorder="1" applyAlignment="1">
      <alignment horizontal="centerContinuous" wrapText="1"/>
    </xf>
    <xf numFmtId="0" fontId="1" fillId="2" borderId="0" xfId="1" applyFont="1" applyFill="1" applyAlignment="1">
      <alignment horizontal="center"/>
    </xf>
    <xf numFmtId="0" fontId="1" fillId="2" borderId="0" xfId="1" applyFont="1" applyFill="1" applyAlignment="1">
      <alignment horizontal="centerContinuous" wrapText="1"/>
    </xf>
    <xf numFmtId="0" fontId="1" fillId="2" borderId="0" xfId="1" applyFont="1" applyFill="1" applyAlignment="1">
      <alignment horizontal="centerContinuous"/>
    </xf>
    <xf numFmtId="0" fontId="1" fillId="0" borderId="0" xfId="8" applyFont="1" applyAlignment="1">
      <alignment horizontal="center"/>
    </xf>
    <xf numFmtId="0" fontId="9" fillId="0" borderId="0" xfId="8" applyFont="1" applyAlignment="1">
      <alignment wrapText="1"/>
    </xf>
    <xf numFmtId="0" fontId="1" fillId="0" borderId="0" xfId="8" applyFont="1" applyFill="1"/>
    <xf numFmtId="0" fontId="29" fillId="0" borderId="0" xfId="8" applyFont="1" applyFill="1" applyBorder="1" applyAlignment="1">
      <alignment horizontal="centerContinuous" wrapText="1"/>
    </xf>
    <xf numFmtId="0" fontId="1" fillId="0" borderId="0" xfId="8" applyFont="1" applyFill="1" applyAlignment="1">
      <alignment horizontal="center"/>
    </xf>
    <xf numFmtId="0" fontId="4" fillId="0" borderId="0" xfId="8" applyFont="1" applyFill="1"/>
    <xf numFmtId="0" fontId="1" fillId="0" borderId="0" xfId="8" applyNumberFormat="1" applyFont="1" applyFill="1" applyBorder="1" applyAlignment="1">
      <alignment wrapText="1"/>
    </xf>
    <xf numFmtId="0" fontId="4" fillId="0" borderId="3" xfId="8" applyFont="1" applyFill="1" applyBorder="1" applyAlignment="1">
      <alignment horizontal="center" vertical="center"/>
    </xf>
    <xf numFmtId="0" fontId="30" fillId="0" borderId="3" xfId="8" applyNumberFormat="1" applyFont="1" applyFill="1" applyBorder="1" applyAlignment="1">
      <alignment horizontal="center" vertical="center" wrapText="1"/>
    </xf>
    <xf numFmtId="0" fontId="4" fillId="0" borderId="0" xfId="8" applyFont="1" applyFill="1" applyAlignment="1">
      <alignment horizontal="center"/>
    </xf>
    <xf numFmtId="0" fontId="5" fillId="0" borderId="3" xfId="8" applyFont="1" applyFill="1" applyBorder="1" applyAlignment="1">
      <alignment horizontal="center" vertical="center"/>
    </xf>
    <xf numFmtId="0" fontId="4" fillId="0" borderId="0" xfId="8" applyFont="1" applyFill="1" applyAlignment="1">
      <alignment horizontal="center" vertical="center"/>
    </xf>
    <xf numFmtId="0" fontId="1" fillId="0" borderId="3" xfId="8" applyFont="1" applyFill="1" applyBorder="1"/>
    <xf numFmtId="0" fontId="1" fillId="0" borderId="3" xfId="8" applyFont="1" applyFill="1" applyBorder="1" applyAlignment="1">
      <alignment horizontal="center" vertical="center" wrapText="1"/>
    </xf>
    <xf numFmtId="0" fontId="4" fillId="0" borderId="0" xfId="8" applyFont="1" applyFill="1" applyAlignment="1">
      <alignment vertical="center"/>
    </xf>
    <xf numFmtId="0" fontId="4" fillId="0" borderId="3" xfId="8" applyFont="1" applyFill="1" applyBorder="1"/>
    <xf numFmtId="165" fontId="4" fillId="0" borderId="0" xfId="8" applyNumberFormat="1" applyFont="1" applyFill="1"/>
    <xf numFmtId="0" fontId="52" fillId="0" borderId="3" xfId="8" applyFont="1" applyFill="1" applyBorder="1" applyAlignment="1">
      <alignment horizontal="center" vertical="center" wrapText="1"/>
    </xf>
    <xf numFmtId="0" fontId="4" fillId="0" borderId="0" xfId="8" applyFont="1" applyFill="1" applyBorder="1"/>
    <xf numFmtId="0" fontId="32" fillId="3" borderId="3" xfId="0" applyFont="1" applyFill="1" applyBorder="1" applyAlignment="1">
      <alignment vertical="center"/>
    </xf>
    <xf numFmtId="165" fontId="61" fillId="3" borderId="3" xfId="0" applyNumberFormat="1" applyFont="1" applyFill="1" applyBorder="1" applyAlignment="1">
      <alignment vertical="center"/>
    </xf>
    <xf numFmtId="49" fontId="32" fillId="10" borderId="4" xfId="0" applyNumberFormat="1" applyFont="1" applyFill="1" applyBorder="1" applyAlignment="1">
      <alignment vertical="center"/>
    </xf>
    <xf numFmtId="0" fontId="32" fillId="10" borderId="3" xfId="0" applyFont="1" applyFill="1" applyBorder="1" applyAlignment="1">
      <alignment vertical="center"/>
    </xf>
    <xf numFmtId="165" fontId="32" fillId="10" borderId="3" xfId="0" applyNumberFormat="1" applyFont="1" applyFill="1" applyBorder="1" applyAlignment="1">
      <alignment vertical="center"/>
    </xf>
    <xf numFmtId="2" fontId="61" fillId="10" borderId="3" xfId="0" applyNumberFormat="1" applyFont="1" applyFill="1" applyBorder="1" applyAlignment="1">
      <alignment vertical="center"/>
    </xf>
    <xf numFmtId="0" fontId="33" fillId="0" borderId="0" xfId="0" applyFont="1"/>
    <xf numFmtId="0" fontId="34" fillId="2" borderId="0" xfId="9" applyFont="1" applyFill="1" applyBorder="1" applyAlignment="1">
      <alignment horizontal="centerContinuous"/>
    </xf>
    <xf numFmtId="1" fontId="35" fillId="0" borderId="0" xfId="0" applyNumberFormat="1" applyFont="1" applyFill="1" applyBorder="1" applyAlignment="1">
      <alignment horizontal="centerContinuous" vertical="center" wrapText="1"/>
    </xf>
    <xf numFmtId="0" fontId="36" fillId="2" borderId="0" xfId="9" applyFont="1" applyFill="1" applyBorder="1" applyAlignment="1">
      <alignment horizontal="centerContinuous"/>
    </xf>
    <xf numFmtId="0" fontId="33" fillId="0" borderId="0" xfId="0" applyFont="1" applyAlignment="1">
      <alignment horizontal="centerContinuous"/>
    </xf>
    <xf numFmtId="0" fontId="34" fillId="2" borderId="0" xfId="9" applyFont="1" applyFill="1" applyBorder="1" applyAlignment="1"/>
    <xf numFmtId="0" fontId="31" fillId="0" borderId="0" xfId="0" applyNumberFormat="1" applyFont="1" applyFill="1" applyBorder="1" applyAlignment="1">
      <alignment wrapText="1"/>
    </xf>
    <xf numFmtId="1" fontId="38" fillId="0" borderId="3" xfId="0" applyNumberFormat="1" applyFont="1" applyFill="1" applyBorder="1" applyAlignment="1">
      <alignment horizontal="center" vertical="center" wrapText="1"/>
    </xf>
    <xf numFmtId="0" fontId="39" fillId="0" borderId="5" xfId="9" applyFont="1" applyBorder="1" applyAlignment="1">
      <alignment vertical="center"/>
    </xf>
    <xf numFmtId="0" fontId="40" fillId="0" borderId="3" xfId="9" applyNumberFormat="1" applyFont="1" applyFill="1" applyBorder="1" applyAlignment="1">
      <alignment vertical="center" wrapText="1"/>
    </xf>
    <xf numFmtId="1" fontId="38" fillId="0" borderId="4" xfId="0" applyNumberFormat="1" applyFont="1" applyFill="1" applyBorder="1" applyAlignment="1">
      <alignment horizontal="center" vertical="center" wrapText="1"/>
    </xf>
    <xf numFmtId="0" fontId="33" fillId="0" borderId="3" xfId="0" applyFont="1" applyBorder="1" applyAlignment="1">
      <alignment horizontal="center" vertical="center"/>
    </xf>
    <xf numFmtId="0" fontId="31" fillId="0" borderId="6" xfId="0" applyNumberFormat="1" applyFont="1" applyFill="1" applyBorder="1" applyAlignment="1">
      <alignment horizontal="left" vertical="center" wrapText="1"/>
    </xf>
    <xf numFmtId="165" fontId="31" fillId="10" borderId="3" xfId="0" applyNumberFormat="1" applyFont="1" applyFill="1" applyBorder="1" applyAlignment="1">
      <alignment horizontal="center" vertical="center" wrapText="1"/>
    </xf>
    <xf numFmtId="1" fontId="31" fillId="10" borderId="3" xfId="0" applyNumberFormat="1" applyFont="1" applyFill="1" applyBorder="1" applyAlignment="1">
      <alignment horizontal="center" vertical="center" wrapText="1"/>
    </xf>
    <xf numFmtId="0" fontId="62" fillId="0" borderId="0" xfId="0" applyFont="1" applyAlignment="1">
      <alignment vertical="center"/>
    </xf>
    <xf numFmtId="0" fontId="62" fillId="0" borderId="0" xfId="0" applyFont="1"/>
    <xf numFmtId="165" fontId="63" fillId="10" borderId="3" xfId="0" applyNumberFormat="1" applyFont="1" applyFill="1" applyBorder="1" applyAlignment="1">
      <alignment vertical="center"/>
    </xf>
    <xf numFmtId="49" fontId="32" fillId="10" borderId="3" xfId="0" applyNumberFormat="1" applyFont="1" applyFill="1" applyBorder="1" applyAlignment="1">
      <alignment vertical="center"/>
    </xf>
    <xf numFmtId="0" fontId="64" fillId="0" borderId="3" xfId="0" applyFont="1" applyBorder="1"/>
    <xf numFmtId="2" fontId="33" fillId="0" borderId="3" xfId="0" applyNumberFormat="1" applyFont="1" applyBorder="1"/>
    <xf numFmtId="0" fontId="5" fillId="0" borderId="3" xfId="0" applyFont="1" applyBorder="1" applyAlignment="1">
      <alignment wrapText="1"/>
    </xf>
    <xf numFmtId="0" fontId="15" fillId="0" borderId="3" xfId="0" applyFont="1" applyBorder="1" applyAlignment="1">
      <alignment horizontal="center"/>
    </xf>
    <xf numFmtId="165" fontId="15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Continuous" wrapText="1"/>
    </xf>
    <xf numFmtId="0" fontId="1" fillId="0" borderId="3" xfId="0" applyFont="1" applyFill="1" applyBorder="1"/>
    <xf numFmtId="0" fontId="1" fillId="0" borderId="3" xfId="0" applyFont="1" applyFill="1" applyBorder="1" applyAlignment="1">
      <alignment horizontal="right" wrapText="1"/>
    </xf>
    <xf numFmtId="165" fontId="1" fillId="0" borderId="3" xfId="0" applyNumberFormat="1" applyFont="1" applyFill="1" applyBorder="1" applyAlignment="1">
      <alignment horizontal="right" wrapText="1"/>
    </xf>
    <xf numFmtId="0" fontId="42" fillId="2" borderId="0" xfId="0" applyFont="1" applyFill="1" applyBorder="1" applyAlignment="1">
      <alignment wrapText="1"/>
    </xf>
    <xf numFmtId="0" fontId="15" fillId="2" borderId="0" xfId="0" applyFont="1" applyFill="1" applyAlignment="1">
      <alignment horizontal="center"/>
    </xf>
    <xf numFmtId="0" fontId="30" fillId="2" borderId="0" xfId="0" applyFont="1" applyFill="1" applyAlignment="1">
      <alignment horizontal="center"/>
    </xf>
    <xf numFmtId="0" fontId="15" fillId="2" borderId="0" xfId="0" applyFont="1" applyFill="1"/>
    <xf numFmtId="0" fontId="1" fillId="2" borderId="0" xfId="0" applyFont="1" applyFill="1"/>
    <xf numFmtId="0" fontId="18" fillId="2" borderId="1" xfId="0" applyFont="1" applyFill="1" applyBorder="1" applyAlignment="1">
      <alignment horizontal="left" wrapText="1"/>
    </xf>
    <xf numFmtId="0" fontId="29" fillId="2" borderId="1" xfId="0" applyFont="1" applyFill="1" applyBorder="1" applyAlignment="1">
      <alignment horizontal="centerContinuous" wrapText="1"/>
    </xf>
    <xf numFmtId="0" fontId="2" fillId="2" borderId="1" xfId="0" applyFont="1" applyFill="1" applyBorder="1" applyAlignment="1">
      <alignment horizontal="centerContinuous" wrapText="1"/>
    </xf>
    <xf numFmtId="0" fontId="3" fillId="2" borderId="1" xfId="0" applyFont="1" applyFill="1" applyBorder="1" applyAlignment="1">
      <alignment horizontal="centerContinuous" wrapText="1"/>
    </xf>
    <xf numFmtId="0" fontId="15" fillId="2" borderId="1" xfId="0" applyFont="1" applyFill="1" applyBorder="1" applyAlignment="1">
      <alignment horizontal="center"/>
    </xf>
    <xf numFmtId="0" fontId="30" fillId="2" borderId="1" xfId="0" applyFont="1" applyFill="1" applyBorder="1" applyAlignment="1">
      <alignment horizontal="center"/>
    </xf>
    <xf numFmtId="0" fontId="15" fillId="2" borderId="1" xfId="0" applyFont="1" applyFill="1" applyBorder="1"/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Continuous" wrapText="1"/>
    </xf>
    <xf numFmtId="0" fontId="5" fillId="2" borderId="0" xfId="0" applyFont="1" applyFill="1" applyAlignment="1">
      <alignment horizontal="centerContinuous"/>
    </xf>
    <xf numFmtId="0" fontId="44" fillId="2" borderId="0" xfId="0" applyFont="1" applyFill="1" applyAlignment="1">
      <alignment horizontal="centerContinuous"/>
    </xf>
    <xf numFmtId="165" fontId="5" fillId="2" borderId="0" xfId="0" applyNumberFormat="1" applyFont="1" applyFill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wrapText="1"/>
    </xf>
    <xf numFmtId="0" fontId="44" fillId="2" borderId="0" xfId="0" applyFont="1" applyFill="1" applyAlignment="1">
      <alignment horizontal="center"/>
    </xf>
    <xf numFmtId="0" fontId="5" fillId="0" borderId="0" xfId="0" applyFont="1"/>
    <xf numFmtId="0" fontId="5" fillId="2" borderId="5" xfId="0" applyFont="1" applyFill="1" applyBorder="1" applyAlignment="1">
      <alignment horizontal="center"/>
    </xf>
    <xf numFmtId="1" fontId="2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wrapText="1"/>
    </xf>
    <xf numFmtId="0" fontId="5" fillId="0" borderId="4" xfId="0" applyFont="1" applyBorder="1" applyAlignment="1">
      <alignment horizontal="centerContinuous" wrapText="1"/>
    </xf>
    <xf numFmtId="0" fontId="5" fillId="0" borderId="7" xfId="0" applyFont="1" applyBorder="1" applyAlignment="1">
      <alignment horizontal="centerContinuous" wrapText="1"/>
    </xf>
    <xf numFmtId="0" fontId="5" fillId="0" borderId="8" xfId="0" applyFont="1" applyBorder="1" applyAlignment="1">
      <alignment horizontal="centerContinuous" wrapText="1"/>
    </xf>
    <xf numFmtId="0" fontId="5" fillId="0" borderId="4" xfId="0" applyFont="1" applyBorder="1" applyAlignment="1">
      <alignment horizontal="centerContinuous"/>
    </xf>
    <xf numFmtId="0" fontId="44" fillId="0" borderId="7" xfId="0" applyFont="1" applyBorder="1" applyAlignment="1">
      <alignment horizontal="centerContinuous"/>
    </xf>
    <xf numFmtId="0" fontId="5" fillId="0" borderId="7" xfId="0" applyFont="1" applyBorder="1" applyAlignment="1">
      <alignment horizontal="centerContinuous"/>
    </xf>
    <xf numFmtId="0" fontId="5" fillId="0" borderId="8" xfId="0" applyFont="1" applyBorder="1" applyAlignment="1">
      <alignment horizontal="centerContinuous"/>
    </xf>
    <xf numFmtId="0" fontId="1" fillId="2" borderId="11" xfId="0" applyFont="1" applyFill="1" applyBorder="1" applyAlignment="1">
      <alignment horizontal="center"/>
    </xf>
    <xf numFmtId="0" fontId="9" fillId="2" borderId="11" xfId="0" applyFont="1" applyFill="1" applyBorder="1" applyAlignment="1">
      <alignment wrapText="1"/>
    </xf>
    <xf numFmtId="0" fontId="5" fillId="2" borderId="11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25" fillId="2" borderId="6" xfId="0" applyFont="1" applyFill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9" fillId="0" borderId="6" xfId="0" applyFont="1" applyBorder="1" applyAlignment="1">
      <alignment wrapText="1"/>
    </xf>
    <xf numFmtId="0" fontId="5" fillId="0" borderId="3" xfId="0" applyFont="1" applyBorder="1" applyAlignment="1">
      <alignment horizontal="center" wrapText="1"/>
    </xf>
    <xf numFmtId="0" fontId="44" fillId="0" borderId="3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9" fillId="0" borderId="3" xfId="0" applyFont="1" applyBorder="1" applyAlignment="1">
      <alignment horizontal="center" wrapText="1"/>
    </xf>
    <xf numFmtId="0" fontId="30" fillId="0" borderId="3" xfId="0" applyFont="1" applyBorder="1" applyAlignment="1">
      <alignment horizontal="center"/>
    </xf>
    <xf numFmtId="0" fontId="45" fillId="0" borderId="3" xfId="0" applyFont="1" applyBorder="1" applyAlignment="1">
      <alignment horizontal="center" wrapText="1"/>
    </xf>
    <xf numFmtId="0" fontId="1" fillId="4" borderId="3" xfId="0" applyFont="1" applyFill="1" applyBorder="1" applyAlignment="1">
      <alignment horizontal="centerContinuous" wrapText="1"/>
    </xf>
    <xf numFmtId="0" fontId="9" fillId="0" borderId="3" xfId="0" applyFont="1" applyBorder="1" applyAlignment="1">
      <alignment wrapText="1"/>
    </xf>
    <xf numFmtId="0" fontId="41" fillId="0" borderId="3" xfId="0" applyFont="1" applyBorder="1" applyAlignment="1">
      <alignment horizontal="center" wrapText="1"/>
    </xf>
    <xf numFmtId="165" fontId="1" fillId="0" borderId="3" xfId="0" applyNumberFormat="1" applyFont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9" fillId="5" borderId="3" xfId="0" applyFont="1" applyFill="1" applyBorder="1" applyAlignment="1">
      <alignment wrapText="1"/>
    </xf>
    <xf numFmtId="0" fontId="1" fillId="5" borderId="3" xfId="0" applyFont="1" applyFill="1" applyBorder="1" applyAlignment="1">
      <alignment horizontal="center" wrapText="1"/>
    </xf>
    <xf numFmtId="165" fontId="1" fillId="5" borderId="3" xfId="0" applyNumberFormat="1" applyFont="1" applyFill="1" applyBorder="1" applyAlignment="1">
      <alignment horizontal="center" wrapText="1"/>
    </xf>
    <xf numFmtId="0" fontId="46" fillId="5" borderId="3" xfId="0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5" borderId="0" xfId="0" applyFont="1" applyFill="1"/>
    <xf numFmtId="165" fontId="1" fillId="4" borderId="3" xfId="0" applyNumberFormat="1" applyFont="1" applyFill="1" applyBorder="1" applyAlignment="1">
      <alignment horizontal="centerContinuous" wrapText="1"/>
    </xf>
    <xf numFmtId="165" fontId="1" fillId="0" borderId="3" xfId="0" applyNumberFormat="1" applyFont="1" applyBorder="1" applyAlignment="1">
      <alignment horizontal="centerContinuous" wrapText="1"/>
    </xf>
    <xf numFmtId="0" fontId="46" fillId="0" borderId="3" xfId="0" applyFont="1" applyBorder="1" applyAlignment="1">
      <alignment horizontal="center"/>
    </xf>
    <xf numFmtId="165" fontId="1" fillId="0" borderId="3" xfId="0" applyNumberFormat="1" applyFont="1" applyBorder="1" applyAlignment="1">
      <alignment horizontal="center" wrapText="1"/>
    </xf>
    <xf numFmtId="1" fontId="1" fillId="0" borderId="3" xfId="0" applyNumberFormat="1" applyFont="1" applyBorder="1" applyAlignment="1">
      <alignment horizontal="center" wrapText="1"/>
    </xf>
    <xf numFmtId="0" fontId="1" fillId="4" borderId="3" xfId="0" applyFont="1" applyFill="1" applyBorder="1" applyAlignment="1">
      <alignment horizontal="center"/>
    </xf>
    <xf numFmtId="0" fontId="9" fillId="4" borderId="3" xfId="0" applyFont="1" applyFill="1" applyBorder="1" applyAlignment="1">
      <alignment wrapText="1"/>
    </xf>
    <xf numFmtId="0" fontId="1" fillId="4" borderId="3" xfId="0" applyFont="1" applyFill="1" applyBorder="1" applyAlignment="1">
      <alignment horizontal="center" wrapText="1"/>
    </xf>
    <xf numFmtId="1" fontId="1" fillId="4" borderId="3" xfId="0" applyNumberFormat="1" applyFont="1" applyFill="1" applyBorder="1" applyAlignment="1">
      <alignment horizontal="center"/>
    </xf>
    <xf numFmtId="0" fontId="30" fillId="4" borderId="3" xfId="0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0" xfId="0" applyFont="1" applyFill="1"/>
    <xf numFmtId="0" fontId="45" fillId="0" borderId="3" xfId="0" applyFont="1" applyBorder="1" applyAlignment="1">
      <alignment horizontal="left" wrapText="1"/>
    </xf>
    <xf numFmtId="0" fontId="30" fillId="0" borderId="3" xfId="0" applyFont="1" applyBorder="1" applyAlignment="1">
      <alignment horizontal="center" wrapText="1"/>
    </xf>
    <xf numFmtId="0" fontId="9" fillId="0" borderId="3" xfId="0" applyFont="1" applyBorder="1" applyAlignment="1">
      <alignment horizontal="left" wrapText="1"/>
    </xf>
    <xf numFmtId="0" fontId="29" fillId="0" borderId="3" xfId="0" applyFont="1" applyBorder="1" applyAlignment="1">
      <alignment horizontal="center"/>
    </xf>
    <xf numFmtId="0" fontId="36" fillId="0" borderId="3" xfId="0" applyFont="1" applyBorder="1" applyAlignment="1">
      <alignment horizontal="left" wrapText="1"/>
    </xf>
    <xf numFmtId="0" fontId="29" fillId="0" borderId="3" xfId="0" applyFont="1" applyBorder="1" applyAlignment="1">
      <alignment horizontal="center" wrapText="1"/>
    </xf>
    <xf numFmtId="0" fontId="47" fillId="0" borderId="3" xfId="0" applyFont="1" applyBorder="1" applyAlignment="1">
      <alignment horizontal="center" wrapText="1"/>
    </xf>
    <xf numFmtId="165" fontId="29" fillId="0" borderId="3" xfId="0" applyNumberFormat="1" applyFont="1" applyBorder="1" applyAlignment="1">
      <alignment horizontal="center" wrapText="1"/>
    </xf>
    <xf numFmtId="0" fontId="29" fillId="0" borderId="0" xfId="0" applyFont="1" applyAlignment="1">
      <alignment wrapText="1"/>
    </xf>
    <xf numFmtId="0" fontId="30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2" fillId="0" borderId="0" xfId="0" applyFont="1" applyFill="1"/>
    <xf numFmtId="0" fontId="2" fillId="0" borderId="1" xfId="0" applyFont="1" applyFill="1" applyBorder="1"/>
    <xf numFmtId="0" fontId="1" fillId="0" borderId="12" xfId="0" applyFont="1" applyFill="1" applyBorder="1"/>
    <xf numFmtId="0" fontId="1" fillId="0" borderId="2" xfId="0" applyFont="1" applyFill="1" applyBorder="1"/>
    <xf numFmtId="165" fontId="2" fillId="0" borderId="3" xfId="0" applyNumberFormat="1" applyFont="1" applyFill="1" applyBorder="1" applyAlignment="1">
      <alignment wrapText="1"/>
    </xf>
    <xf numFmtId="165" fontId="1" fillId="0" borderId="3" xfId="0" applyNumberFormat="1" applyFont="1" applyFill="1" applyBorder="1" applyAlignment="1">
      <alignment wrapText="1"/>
    </xf>
    <xf numFmtId="165" fontId="1" fillId="0" borderId="3" xfId="0" quotePrefix="1" applyNumberFormat="1" applyFont="1" applyFill="1" applyBorder="1" applyAlignment="1">
      <alignment horizontal="right" wrapText="1"/>
    </xf>
    <xf numFmtId="165" fontId="1" fillId="0" borderId="3" xfId="0" applyNumberFormat="1" applyFont="1" applyFill="1" applyBorder="1" applyAlignment="1"/>
    <xf numFmtId="165" fontId="1" fillId="0" borderId="3" xfId="0" applyNumberFormat="1" applyFont="1" applyFill="1" applyBorder="1"/>
    <xf numFmtId="0" fontId="29" fillId="2" borderId="2" xfId="5" applyFont="1" applyFill="1" applyBorder="1"/>
    <xf numFmtId="0" fontId="1" fillId="2" borderId="2" xfId="5" applyFont="1" applyFill="1" applyBorder="1"/>
    <xf numFmtId="0" fontId="1" fillId="2" borderId="13" xfId="5" quotePrefix="1" applyFont="1" applyFill="1" applyBorder="1" applyAlignment="1">
      <alignment horizontal="left" wrapText="1"/>
    </xf>
    <xf numFmtId="0" fontId="2" fillId="2" borderId="9" xfId="5" quotePrefix="1" applyFont="1" applyFill="1" applyBorder="1" applyAlignment="1">
      <alignment horizontal="left"/>
    </xf>
    <xf numFmtId="0" fontId="2" fillId="2" borderId="2" xfId="5" applyFont="1" applyFill="1" applyBorder="1" applyAlignment="1"/>
    <xf numFmtId="0" fontId="2" fillId="2" borderId="2" xfId="5" applyFont="1" applyFill="1" applyBorder="1"/>
    <xf numFmtId="0" fontId="1" fillId="2" borderId="10" xfId="5" applyFont="1" applyFill="1" applyBorder="1"/>
    <xf numFmtId="0" fontId="29" fillId="2" borderId="9" xfId="5" applyFont="1" applyFill="1" applyBorder="1" applyAlignment="1">
      <alignment horizontal="left" vertical="center" wrapText="1"/>
    </xf>
    <xf numFmtId="0" fontId="1" fillId="2" borderId="9" xfId="5" applyFont="1" applyFill="1" applyBorder="1" applyAlignment="1">
      <alignment horizontal="left" vertical="center" wrapText="1"/>
    </xf>
    <xf numFmtId="0" fontId="1" fillId="2" borderId="9" xfId="5" applyFont="1" applyFill="1" applyBorder="1" applyAlignment="1">
      <alignment vertical="center" wrapText="1"/>
    </xf>
    <xf numFmtId="0" fontId="1" fillId="2" borderId="6" xfId="5" applyFont="1" applyFill="1" applyBorder="1" applyAlignment="1">
      <alignment vertical="center" wrapText="1"/>
    </xf>
    <xf numFmtId="0" fontId="1" fillId="0" borderId="10" xfId="5" applyFont="1" applyBorder="1" applyAlignment="1">
      <alignment vertical="center" wrapText="1"/>
    </xf>
    <xf numFmtId="0" fontId="1" fillId="2" borderId="10" xfId="5" quotePrefix="1" applyFont="1" applyFill="1" applyBorder="1" applyAlignment="1">
      <alignment horizontal="left" vertical="center" wrapText="1"/>
    </xf>
    <xf numFmtId="0" fontId="1" fillId="0" borderId="2" xfId="5" quotePrefix="1" applyFont="1" applyBorder="1" applyAlignment="1">
      <alignment horizontal="left" vertical="center" wrapText="1"/>
    </xf>
    <xf numFmtId="0" fontId="1" fillId="0" borderId="9" xfId="5" applyFont="1" applyBorder="1" applyAlignment="1">
      <alignment vertical="center" wrapText="1"/>
    </xf>
    <xf numFmtId="0" fontId="1" fillId="0" borderId="6" xfId="5" quotePrefix="1" applyFont="1" applyBorder="1" applyAlignment="1">
      <alignment horizontal="left" vertical="center" wrapText="1"/>
    </xf>
    <xf numFmtId="0" fontId="1" fillId="2" borderId="9" xfId="5" applyFont="1" applyFill="1" applyBorder="1" applyAlignment="1">
      <alignment horizontal="centerContinuous" wrapText="1"/>
    </xf>
    <xf numFmtId="0" fontId="1" fillId="0" borderId="6" xfId="5" applyFont="1" applyBorder="1" applyAlignment="1">
      <alignment horizontal="center"/>
    </xf>
    <xf numFmtId="0" fontId="1" fillId="0" borderId="10" xfId="5" applyFont="1" applyBorder="1" applyAlignment="1">
      <alignment horizontal="center"/>
    </xf>
    <xf numFmtId="0" fontId="1" fillId="0" borderId="10" xfId="5" applyFont="1" applyBorder="1" applyAlignment="1">
      <alignment horizontal="centerContinuous"/>
    </xf>
    <xf numFmtId="0" fontId="1" fillId="0" borderId="3" xfId="5" applyFont="1" applyBorder="1" applyAlignment="1">
      <alignment wrapText="1"/>
    </xf>
    <xf numFmtId="0" fontId="1" fillId="6" borderId="10" xfId="5" applyFont="1" applyFill="1" applyBorder="1" applyAlignment="1">
      <alignment horizontal="centerContinuous"/>
    </xf>
    <xf numFmtId="0" fontId="1" fillId="0" borderId="3" xfId="4" applyFont="1" applyFill="1" applyBorder="1" applyAlignment="1">
      <alignment wrapText="1"/>
    </xf>
    <xf numFmtId="0" fontId="1" fillId="0" borderId="3" xfId="4" applyFont="1" applyBorder="1"/>
    <xf numFmtId="1" fontId="1" fillId="0" borderId="3" xfId="4" applyNumberFormat="1" applyFont="1" applyBorder="1"/>
    <xf numFmtId="1" fontId="1" fillId="0" borderId="3" xfId="5" applyNumberFormat="1" applyFont="1" applyFill="1" applyBorder="1"/>
    <xf numFmtId="0" fontId="1" fillId="0" borderId="3" xfId="7" applyFont="1" applyFill="1" applyBorder="1"/>
    <xf numFmtId="165" fontId="1" fillId="0" borderId="3" xfId="5" applyNumberFormat="1" applyFont="1" applyFill="1" applyBorder="1"/>
    <xf numFmtId="1" fontId="1" fillId="7" borderId="3" xfId="6" applyNumberFormat="1" applyFont="1" applyFill="1" applyBorder="1"/>
    <xf numFmtId="0" fontId="1" fillId="8" borderId="3" xfId="4" applyFont="1" applyFill="1" applyBorder="1"/>
    <xf numFmtId="0" fontId="1" fillId="8" borderId="3" xfId="4" applyFont="1" applyFill="1" applyBorder="1" applyAlignment="1">
      <alignment wrapText="1"/>
    </xf>
    <xf numFmtId="0" fontId="1" fillId="0" borderId="0" xfId="5" applyFont="1"/>
    <xf numFmtId="0" fontId="1" fillId="0" borderId="4" xfId="0" applyFont="1" applyFill="1" applyBorder="1" applyAlignment="1">
      <alignment wrapText="1"/>
    </xf>
    <xf numFmtId="165" fontId="1" fillId="0" borderId="3" xfId="0" quotePrefix="1" applyNumberFormat="1" applyFont="1" applyFill="1" applyBorder="1" applyAlignment="1">
      <alignment horizontal="center" vertical="center" wrapText="1"/>
    </xf>
    <xf numFmtId="0" fontId="32" fillId="0" borderId="3" xfId="0" applyFont="1" applyBorder="1" applyAlignment="1">
      <alignment wrapText="1"/>
    </xf>
    <xf numFmtId="0" fontId="1" fillId="0" borderId="0" xfId="8" applyFont="1" applyFill="1" applyBorder="1" applyAlignment="1">
      <alignment horizontal="center" vertical="center" wrapText="1"/>
    </xf>
    <xf numFmtId="2" fontId="6" fillId="0" borderId="0" xfId="8" applyNumberFormat="1" applyFont="1" applyFill="1" applyBorder="1" applyAlignment="1">
      <alignment horizontal="right"/>
    </xf>
    <xf numFmtId="0" fontId="21" fillId="0" borderId="3" xfId="1" applyFont="1" applyBorder="1" applyAlignment="1">
      <alignment horizontal="left" wrapText="1"/>
    </xf>
    <xf numFmtId="0" fontId="21" fillId="0" borderId="3" xfId="1" applyFont="1" applyBorder="1" applyAlignment="1">
      <alignment horizontal="center"/>
    </xf>
    <xf numFmtId="0" fontId="21" fillId="2" borderId="3" xfId="1" applyFont="1" applyFill="1" applyBorder="1" applyAlignment="1">
      <alignment horizontal="center" wrapText="1"/>
    </xf>
    <xf numFmtId="165" fontId="22" fillId="0" borderId="3" xfId="8" applyNumberFormat="1" applyFont="1" applyBorder="1" applyAlignment="1">
      <alignment horizontal="center"/>
    </xf>
    <xf numFmtId="165" fontId="66" fillId="0" borderId="0" xfId="2" applyNumberFormat="1" applyFont="1" applyBorder="1"/>
    <xf numFmtId="0" fontId="53" fillId="2" borderId="0" xfId="0" applyFont="1" applyFill="1" applyAlignment="1">
      <alignment wrapText="1"/>
    </xf>
    <xf numFmtId="0" fontId="58" fillId="2" borderId="0" xfId="0" applyFont="1" applyFill="1" applyAlignment="1">
      <alignment wrapText="1"/>
    </xf>
    <xf numFmtId="0" fontId="60" fillId="2" borderId="0" xfId="0" applyFont="1" applyFill="1" applyBorder="1" applyAlignment="1">
      <alignment horizontal="centerContinuous" wrapText="1"/>
    </xf>
    <xf numFmtId="0" fontId="53" fillId="2" borderId="0" xfId="0" applyFont="1" applyFill="1" applyAlignment="1">
      <alignment horizontal="centerContinuous" wrapText="1"/>
    </xf>
    <xf numFmtId="0" fontId="58" fillId="2" borderId="0" xfId="0" applyFont="1" applyFill="1" applyAlignment="1">
      <alignment horizontal="centerContinuous" wrapText="1"/>
    </xf>
    <xf numFmtId="0" fontId="2" fillId="2" borderId="0" xfId="0" applyFont="1" applyFill="1" applyAlignment="1">
      <alignment horizontal="center"/>
    </xf>
    <xf numFmtId="165" fontId="53" fillId="0" borderId="0" xfId="0" applyNumberFormat="1" applyFont="1" applyAlignment="1">
      <alignment horizontal="center"/>
    </xf>
    <xf numFmtId="0" fontId="29" fillId="0" borderId="0" xfId="0" applyFont="1"/>
    <xf numFmtId="0" fontId="2" fillId="0" borderId="3" xfId="0" applyFont="1" applyFill="1" applyBorder="1" applyAlignment="1">
      <alignment horizontal="left" wrapText="1"/>
    </xf>
    <xf numFmtId="0" fontId="2" fillId="0" borderId="3" xfId="0" quotePrefix="1" applyFont="1" applyFill="1" applyBorder="1" applyAlignment="1">
      <alignment horizontal="left" wrapText="1"/>
    </xf>
    <xf numFmtId="0" fontId="54" fillId="0" borderId="0" xfId="0" applyFont="1" applyFill="1"/>
    <xf numFmtId="0" fontId="2" fillId="0" borderId="0" xfId="0" applyFont="1" applyFill="1" applyBorder="1"/>
    <xf numFmtId="0" fontId="65" fillId="0" borderId="0" xfId="0" applyFont="1" applyFill="1"/>
    <xf numFmtId="165" fontId="1" fillId="0" borderId="0" xfId="0" applyNumberFormat="1" applyFont="1" applyFill="1"/>
    <xf numFmtId="0" fontId="65" fillId="0" borderId="1" xfId="0" applyFont="1" applyFill="1" applyBorder="1"/>
    <xf numFmtId="0" fontId="2" fillId="0" borderId="12" xfId="0" applyFont="1" applyFill="1" applyBorder="1"/>
    <xf numFmtId="0" fontId="54" fillId="0" borderId="12" xfId="0" applyFont="1" applyFill="1" applyBorder="1"/>
    <xf numFmtId="0" fontId="54" fillId="0" borderId="2" xfId="0" applyFont="1" applyFill="1" applyBorder="1"/>
    <xf numFmtId="0" fontId="1" fillId="0" borderId="13" xfId="0" applyFont="1" applyFill="1" applyBorder="1"/>
    <xf numFmtId="0" fontId="1" fillId="0" borderId="0" xfId="0" applyFont="1" applyFill="1" applyAlignment="1">
      <alignment wrapText="1"/>
    </xf>
    <xf numFmtId="165" fontId="1" fillId="0" borderId="0" xfId="0" applyNumberFormat="1" applyFont="1" applyFill="1" applyAlignment="1">
      <alignment wrapText="1"/>
    </xf>
    <xf numFmtId="0" fontId="2" fillId="0" borderId="3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wrapText="1"/>
    </xf>
    <xf numFmtId="0" fontId="2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wrapText="1"/>
    </xf>
    <xf numFmtId="0" fontId="54" fillId="0" borderId="3" xfId="0" applyFont="1" applyFill="1" applyBorder="1"/>
    <xf numFmtId="0" fontId="49" fillId="0" borderId="0" xfId="0" applyFont="1" applyAlignment="1">
      <alignment horizontal="center"/>
    </xf>
    <xf numFmtId="0" fontId="49" fillId="0" borderId="0" xfId="0" applyFont="1"/>
    <xf numFmtId="0" fontId="29" fillId="0" borderId="0" xfId="8" applyFont="1"/>
    <xf numFmtId="0" fontId="29" fillId="0" borderId="0" xfId="2" applyFont="1" applyAlignment="1">
      <alignment horizontal="centerContinuous" wrapText="1"/>
    </xf>
    <xf numFmtId="0" fontId="12" fillId="0" borderId="3" xfId="0" applyFont="1" applyBorder="1" applyAlignment="1">
      <alignment horizontal="center" vertical="top"/>
    </xf>
    <xf numFmtId="0" fontId="29" fillId="0" borderId="0" xfId="0" applyFont="1" applyFill="1"/>
    <xf numFmtId="0" fontId="67" fillId="0" borderId="0" xfId="0" applyFont="1" applyFill="1"/>
    <xf numFmtId="3" fontId="1" fillId="0" borderId="3" xfId="0" applyNumberFormat="1" applyFont="1" applyBorder="1" applyAlignment="1">
      <alignment horizontal="center" wrapText="1"/>
    </xf>
    <xf numFmtId="0" fontId="50" fillId="0" borderId="3" xfId="0" applyFont="1" applyBorder="1" applyAlignment="1">
      <alignment wrapText="1"/>
    </xf>
    <xf numFmtId="0" fontId="50" fillId="0" borderId="3" xfId="0" applyFont="1" applyFill="1" applyBorder="1" applyAlignment="1">
      <alignment wrapText="1"/>
    </xf>
    <xf numFmtId="0" fontId="5" fillId="0" borderId="3" xfId="0" applyFont="1" applyBorder="1" applyAlignment="1">
      <alignment horizontal="left" wrapText="1"/>
    </xf>
    <xf numFmtId="0" fontId="0" fillId="0" borderId="7" xfId="0" applyBorder="1" applyAlignment="1"/>
    <xf numFmtId="0" fontId="33" fillId="0" borderId="8" xfId="0" applyFont="1" applyBorder="1" applyAlignment="1"/>
    <xf numFmtId="0" fontId="1" fillId="0" borderId="3" xfId="0" applyFont="1" applyBorder="1" applyAlignment="1">
      <alignment horizontal="center" wrapText="1"/>
    </xf>
    <xf numFmtId="0" fontId="1" fillId="0" borderId="5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165" fontId="1" fillId="0" borderId="0" xfId="0" applyNumberFormat="1" applyFont="1"/>
    <xf numFmtId="0" fontId="0" fillId="0" borderId="0" xfId="0" applyAlignment="1">
      <alignment horizontal="right"/>
    </xf>
    <xf numFmtId="0" fontId="68" fillId="0" borderId="14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left" vertical="center" wrapText="1"/>
    </xf>
    <xf numFmtId="0" fontId="52" fillId="0" borderId="19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left" vertical="center" wrapText="1"/>
    </xf>
    <xf numFmtId="166" fontId="0" fillId="0" borderId="0" xfId="0" applyNumberFormat="1"/>
    <xf numFmtId="0" fontId="52" fillId="0" borderId="2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top"/>
    </xf>
    <xf numFmtId="0" fontId="1" fillId="0" borderId="0" xfId="0" applyFont="1" applyAlignment="1"/>
    <xf numFmtId="0" fontId="75" fillId="0" borderId="0" xfId="8" applyFont="1" applyFill="1"/>
    <xf numFmtId="0" fontId="3" fillId="0" borderId="3" xfId="0" applyFont="1" applyFill="1" applyBorder="1" applyAlignment="1">
      <alignment horizontal="left" wrapText="1"/>
    </xf>
    <xf numFmtId="1" fontId="1" fillId="5" borderId="3" xfId="0" applyNumberFormat="1" applyFont="1" applyFill="1" applyBorder="1" applyAlignment="1">
      <alignment horizontal="center" wrapText="1"/>
    </xf>
    <xf numFmtId="1" fontId="41" fillId="5" borderId="3" xfId="0" applyNumberFormat="1" applyFont="1" applyFill="1" applyBorder="1" applyAlignment="1">
      <alignment horizontal="center" wrapText="1"/>
    </xf>
    <xf numFmtId="1" fontId="54" fillId="9" borderId="3" xfId="0" applyNumberFormat="1" applyFont="1" applyFill="1" applyBorder="1" applyAlignment="1">
      <alignment horizontal="center" wrapText="1"/>
    </xf>
    <xf numFmtId="0" fontId="76" fillId="0" borderId="3" xfId="8" applyFont="1" applyFill="1" applyBorder="1"/>
    <xf numFmtId="2" fontId="2" fillId="0" borderId="0" xfId="0" applyNumberFormat="1" applyFont="1" applyBorder="1"/>
    <xf numFmtId="165" fontId="29" fillId="0" borderId="0" xfId="0" applyNumberFormat="1" applyFont="1"/>
    <xf numFmtId="0" fontId="4" fillId="0" borderId="0" xfId="0" applyFont="1" applyAlignment="1"/>
    <xf numFmtId="0" fontId="4" fillId="0" borderId="0" xfId="8" applyFont="1"/>
    <xf numFmtId="0" fontId="78" fillId="0" borderId="0" xfId="8" applyFont="1"/>
    <xf numFmtId="0" fontId="19" fillId="0" borderId="3" xfId="8" applyFont="1" applyBorder="1" applyAlignment="1">
      <alignment wrapText="1"/>
    </xf>
    <xf numFmtId="165" fontId="29" fillId="0" borderId="0" xfId="0" applyNumberFormat="1" applyFont="1" applyFill="1"/>
    <xf numFmtId="164" fontId="9" fillId="0" borderId="0" xfId="1" applyNumberFormat="1" applyFont="1" applyAlignment="1">
      <alignment wrapText="1"/>
    </xf>
    <xf numFmtId="0" fontId="1" fillId="0" borderId="3" xfId="0" applyFont="1" applyBorder="1" applyAlignment="1">
      <alignment horizontal="left" wrapText="1"/>
    </xf>
    <xf numFmtId="0" fontId="1" fillId="0" borderId="3" xfId="0" applyFont="1" applyBorder="1" applyAlignment="1">
      <alignment horizontal="center" wrapText="1"/>
    </xf>
    <xf numFmtId="3" fontId="0" fillId="0" borderId="0" xfId="0" applyNumberFormat="1"/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justify" vertical="center"/>
    </xf>
    <xf numFmtId="0" fontId="1" fillId="0" borderId="3" xfId="0" applyFont="1" applyBorder="1" applyAlignment="1">
      <alignment horizontal="left" vertical="center"/>
    </xf>
    <xf numFmtId="0" fontId="68" fillId="0" borderId="16" xfId="0" applyFont="1" applyBorder="1" applyAlignment="1">
      <alignment horizontal="center" vertical="center" textRotation="180" wrapText="1"/>
    </xf>
    <xf numFmtId="0" fontId="72" fillId="0" borderId="14" xfId="0" applyFont="1" applyBorder="1" applyAlignment="1">
      <alignment horizontal="center" vertical="center" textRotation="180"/>
    </xf>
    <xf numFmtId="0" fontId="0" fillId="0" borderId="3" xfId="0" applyBorder="1" applyAlignment="1">
      <alignment horizontal="right" vertical="center"/>
    </xf>
    <xf numFmtId="166" fontId="73" fillId="0" borderId="18" xfId="11" applyNumberFormat="1" applyFont="1" applyFill="1" applyBorder="1" applyAlignment="1">
      <alignment horizontal="right" vertical="center" wrapText="1"/>
    </xf>
    <xf numFmtId="166" fontId="70" fillId="0" borderId="16" xfId="11" applyNumberFormat="1" applyFont="1" applyBorder="1" applyAlignment="1">
      <alignment horizontal="right" vertical="center" wrapText="1"/>
    </xf>
    <xf numFmtId="166" fontId="73" fillId="0" borderId="14" xfId="11" applyNumberFormat="1" applyFont="1" applyBorder="1" applyAlignment="1">
      <alignment horizontal="righ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79" fillId="0" borderId="0" xfId="0" applyFont="1" applyBorder="1" applyAlignment="1">
      <alignment horizontal="justify" wrapText="1"/>
    </xf>
    <xf numFmtId="165" fontId="2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wrapText="1"/>
    </xf>
    <xf numFmtId="2" fontId="4" fillId="0" borderId="0" xfId="8" applyNumberFormat="1" applyFont="1" applyFill="1"/>
    <xf numFmtId="0" fontId="0" fillId="0" borderId="0" xfId="0" applyFill="1" applyAlignment="1">
      <alignment horizontal="right"/>
    </xf>
    <xf numFmtId="0" fontId="0" fillId="0" borderId="0" xfId="0" applyFill="1"/>
    <xf numFmtId="0" fontId="70" fillId="0" borderId="14" xfId="11" applyNumberFormat="1" applyFont="1" applyFill="1" applyBorder="1" applyAlignment="1">
      <alignment horizontal="center" vertical="center" wrapText="1"/>
    </xf>
    <xf numFmtId="1" fontId="1" fillId="0" borderId="3" xfId="0" applyNumberFormat="1" applyFont="1" applyFill="1" applyBorder="1" applyAlignment="1">
      <alignment wrapText="1"/>
    </xf>
    <xf numFmtId="0" fontId="1" fillId="0" borderId="3" xfId="0" applyFont="1" applyBorder="1" applyAlignment="1">
      <alignment horizontal="center" wrapText="1"/>
    </xf>
    <xf numFmtId="0" fontId="5" fillId="0" borderId="3" xfId="0" applyFont="1" applyFill="1" applyBorder="1" applyAlignment="1">
      <alignment horizontal="centerContinuous" wrapText="1"/>
    </xf>
    <xf numFmtId="0" fontId="1" fillId="0" borderId="3" xfId="0" applyFont="1" applyFill="1" applyBorder="1" applyAlignment="1">
      <alignment horizontal="centerContinuous" wrapText="1"/>
    </xf>
    <xf numFmtId="0" fontId="1" fillId="0" borderId="3" xfId="0" applyFont="1" applyFill="1" applyBorder="1" applyAlignment="1">
      <alignment horizontal="center" wrapText="1"/>
    </xf>
    <xf numFmtId="0" fontId="74" fillId="0" borderId="0" xfId="0" applyFont="1" applyFill="1"/>
    <xf numFmtId="0" fontId="68" fillId="0" borderId="14" xfId="0" applyFont="1" applyFill="1" applyBorder="1" applyAlignment="1">
      <alignment horizontal="center" vertical="center" textRotation="180" wrapText="1"/>
    </xf>
    <xf numFmtId="0" fontId="52" fillId="0" borderId="17" xfId="11" applyNumberFormat="1" applyFont="1" applyFill="1" applyBorder="1" applyAlignment="1">
      <alignment horizontal="center" vertical="center" wrapText="1"/>
    </xf>
    <xf numFmtId="0" fontId="52" fillId="0" borderId="19" xfId="11" applyNumberFormat="1" applyFont="1" applyFill="1" applyBorder="1" applyAlignment="1">
      <alignment horizontal="center" vertical="center" wrapText="1"/>
    </xf>
    <xf numFmtId="0" fontId="52" fillId="0" borderId="21" xfId="11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wrapText="1"/>
    </xf>
    <xf numFmtId="1" fontId="29" fillId="0" borderId="3" xfId="8" applyNumberFormat="1" applyFont="1" applyFill="1" applyBorder="1" applyAlignment="1">
      <alignment horizontal="right" wrapText="1"/>
    </xf>
    <xf numFmtId="1" fontId="4" fillId="0" borderId="3" xfId="8" applyNumberFormat="1" applyFont="1" applyFill="1" applyBorder="1" applyAlignment="1">
      <alignment horizontal="right"/>
    </xf>
    <xf numFmtId="1" fontId="6" fillId="0" borderId="3" xfId="8" applyNumberFormat="1" applyFont="1" applyFill="1" applyBorder="1" applyAlignment="1">
      <alignment horizontal="right"/>
    </xf>
    <xf numFmtId="1" fontId="6" fillId="0" borderId="3" xfId="8" applyNumberFormat="1" applyFont="1" applyFill="1" applyBorder="1"/>
    <xf numFmtId="1" fontId="2" fillId="0" borderId="3" xfId="0" applyNumberFormat="1" applyFont="1" applyBorder="1"/>
    <xf numFmtId="165" fontId="54" fillId="0" borderId="0" xfId="0" applyNumberFormat="1" applyFont="1" applyFill="1"/>
    <xf numFmtId="165" fontId="1" fillId="0" borderId="3" xfId="0" applyNumberFormat="1" applyFont="1" applyFill="1" applyBorder="1" applyAlignment="1">
      <alignment horizontal="center"/>
    </xf>
    <xf numFmtId="2" fontId="1" fillId="0" borderId="3" xfId="0" applyNumberFormat="1" applyFont="1" applyFill="1" applyBorder="1" applyAlignment="1">
      <alignment wrapText="1"/>
    </xf>
    <xf numFmtId="2" fontId="1" fillId="0" borderId="3" xfId="0" applyNumberFormat="1" applyFont="1" applyFill="1" applyBorder="1"/>
    <xf numFmtId="0" fontId="29" fillId="0" borderId="0" xfId="0" applyFont="1" applyAlignment="1">
      <alignment horizontal="left" wrapText="1"/>
    </xf>
    <xf numFmtId="0" fontId="2" fillId="0" borderId="4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9" fillId="0" borderId="0" xfId="0" applyFont="1" applyFill="1" applyAlignment="1">
      <alignment horizontal="left" wrapText="1"/>
    </xf>
    <xf numFmtId="0" fontId="70" fillId="0" borderId="15" xfId="0" applyFont="1" applyBorder="1" applyAlignment="1">
      <alignment horizontal="left" vertical="center" wrapText="1"/>
    </xf>
    <xf numFmtId="0" fontId="70" fillId="0" borderId="12" xfId="0" applyFont="1" applyBorder="1" applyAlignment="1">
      <alignment horizontal="left" vertical="center" wrapText="1"/>
    </xf>
    <xf numFmtId="0" fontId="71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top"/>
    </xf>
    <xf numFmtId="0" fontId="11" fillId="2" borderId="0" xfId="8" applyFont="1" applyFill="1" applyBorder="1" applyAlignment="1">
      <alignment horizontal="center" wrapText="1"/>
    </xf>
    <xf numFmtId="0" fontId="12" fillId="0" borderId="3" xfId="0" applyFont="1" applyBorder="1" applyAlignment="1">
      <alignment horizontal="center" vertical="top"/>
    </xf>
    <xf numFmtId="0" fontId="10" fillId="0" borderId="4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1" fillId="0" borderId="4" xfId="1" applyFont="1" applyBorder="1" applyAlignment="1">
      <alignment horizontal="center"/>
    </xf>
    <xf numFmtId="0" fontId="21" fillId="0" borderId="7" xfId="1" applyFont="1" applyBorder="1" applyAlignment="1">
      <alignment horizontal="center"/>
    </xf>
    <xf numFmtId="0" fontId="21" fillId="0" borderId="8" xfId="1" applyFont="1" applyBorder="1" applyAlignment="1">
      <alignment horizontal="center"/>
    </xf>
    <xf numFmtId="0" fontId="4" fillId="0" borderId="0" xfId="0" applyFont="1" applyAlignment="1">
      <alignment horizontal="right" wrapText="1"/>
    </xf>
    <xf numFmtId="0" fontId="2" fillId="2" borderId="0" xfId="0" applyFont="1" applyFill="1" applyBorder="1" applyAlignment="1">
      <alignment horizontal="center" wrapText="1"/>
    </xf>
    <xf numFmtId="0" fontId="43" fillId="2" borderId="0" xfId="0" applyFont="1" applyFill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29" fillId="0" borderId="0" xfId="0" applyFont="1" applyAlignment="1">
      <alignment horizontal="right"/>
    </xf>
    <xf numFmtId="0" fontId="29" fillId="0" borderId="22" xfId="0" applyFont="1" applyBorder="1" applyAlignment="1">
      <alignment horizontal="right"/>
    </xf>
    <xf numFmtId="0" fontId="29" fillId="0" borderId="0" xfId="8" applyFont="1" applyFill="1" applyBorder="1" applyAlignment="1">
      <alignment horizontal="center" wrapText="1"/>
    </xf>
    <xf numFmtId="0" fontId="10" fillId="0" borderId="0" xfId="0" applyFont="1" applyAlignment="1">
      <alignment horizontal="center"/>
    </xf>
    <xf numFmtId="1" fontId="31" fillId="3" borderId="4" xfId="0" applyNumberFormat="1" applyFont="1" applyFill="1" applyBorder="1" applyAlignment="1">
      <alignment vertical="center" wrapText="1"/>
    </xf>
    <xf numFmtId="1" fontId="31" fillId="3" borderId="7" xfId="0" applyNumberFormat="1" applyFont="1" applyFill="1" applyBorder="1" applyAlignment="1">
      <alignment vertical="center" wrapText="1"/>
    </xf>
    <xf numFmtId="1" fontId="31" fillId="3" borderId="8" xfId="0" applyNumberFormat="1" applyFont="1" applyFill="1" applyBorder="1" applyAlignment="1">
      <alignment vertical="center" wrapText="1"/>
    </xf>
    <xf numFmtId="49" fontId="32" fillId="10" borderId="7" xfId="0" applyNumberFormat="1" applyFont="1" applyFill="1" applyBorder="1" applyAlignment="1">
      <alignment horizontal="center" vertical="center"/>
    </xf>
    <xf numFmtId="1" fontId="38" fillId="0" borderId="3" xfId="0" applyNumberFormat="1" applyFont="1" applyFill="1" applyBorder="1" applyAlignment="1">
      <alignment horizontal="center" vertical="center" wrapText="1"/>
    </xf>
    <xf numFmtId="1" fontId="40" fillId="0" borderId="0" xfId="0" applyNumberFormat="1" applyFont="1" applyFill="1" applyBorder="1" applyAlignment="1">
      <alignment horizontal="center" vertical="center" wrapText="1"/>
    </xf>
    <xf numFmtId="0" fontId="37" fillId="0" borderId="3" xfId="0" applyFont="1" applyBorder="1" applyAlignment="1">
      <alignment horizontal="center"/>
    </xf>
    <xf numFmtId="0" fontId="29" fillId="0" borderId="0" xfId="5" applyFont="1" applyAlignment="1">
      <alignment horizontal="center"/>
    </xf>
    <xf numFmtId="0" fontId="36" fillId="2" borderId="0" xfId="5" quotePrefix="1" applyFont="1" applyFill="1" applyBorder="1" applyAlignment="1">
      <alignment horizontal="center"/>
    </xf>
    <xf numFmtId="0" fontId="74" fillId="0" borderId="0" xfId="0" applyFont="1" applyAlignment="1">
      <alignment horizontal="center"/>
    </xf>
    <xf numFmtId="0" fontId="10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3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77" fillId="0" borderId="3" xfId="0" applyFont="1" applyBorder="1" applyAlignment="1">
      <alignment horizontal="center" vertical="center" wrapText="1"/>
    </xf>
  </cellXfs>
  <cellStyles count="12">
    <cellStyle name="Comma" xfId="11" builtinId="3"/>
    <cellStyle name="Normal" xfId="0" builtinId="0"/>
    <cellStyle name="Normal 2 2 2" xfId="1"/>
    <cellStyle name="Normal 2 2 3" xfId="2"/>
    <cellStyle name="Normal 2 5" xfId="3"/>
    <cellStyle name="Normal_CANC BUH" xfId="4"/>
    <cellStyle name="Normal_CANC TEX" xfId="5"/>
    <cellStyle name="Normal_Tex cult" xfId="6"/>
    <cellStyle name="Normal_Tex krt" xfId="7"/>
    <cellStyle name="Обычный 2 2" xfId="8"/>
    <cellStyle name="Обычный 4" xfId="9"/>
    <cellStyle name="Обычный_9.Mal.Hayt(2) 2" xfId="1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ashvapah/Desktop/2022/MJCC%202022-2024/&#1348;&#1338;&#1342;&#1342;%202023-2025/akademia2016/naxahashiv%202016/naxahashiv2016-naxagic%20-%20Cop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velvac N1"/>
      <sheetName val="luys, energia"/>
      <sheetName val="jur"/>
      <sheetName val="heraxos"/>
      <sheetName val="մասնագիտական"/>
      <sheetName val="հաստիքացուցակ"/>
      <sheetName val="վերապատրաստման ծառայություններ "/>
      <sheetName val="տեղեկանք"/>
      <sheetName val="գնումների պլան"/>
      <sheetName val="Sheet1"/>
    </sheetNames>
    <sheetDataSet>
      <sheetData sheetId="0"/>
      <sheetData sheetId="1">
        <row r="10">
          <cell r="F10">
            <v>2571.1999999999998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S40"/>
  <sheetViews>
    <sheetView tabSelected="1" zoomScaleNormal="100" workbookViewId="0">
      <selection activeCell="I37" sqref="I37"/>
    </sheetView>
  </sheetViews>
  <sheetFormatPr defaultColWidth="9.140625" defaultRowHeight="13.5"/>
  <cols>
    <col min="1" max="1" width="24.7109375" style="1" customWidth="1"/>
    <col min="2" max="2" width="10.85546875" style="1" customWidth="1"/>
    <col min="3" max="3" width="10.28515625" style="1" customWidth="1"/>
    <col min="4" max="4" width="10.140625" style="1" customWidth="1"/>
    <col min="5" max="5" width="9.28515625" style="1" customWidth="1"/>
    <col min="6" max="6" width="7.7109375" style="1" customWidth="1"/>
    <col min="7" max="7" width="11.28515625" style="1" customWidth="1"/>
    <col min="8" max="8" width="11.28515625" style="39" bestFit="1" customWidth="1"/>
    <col min="9" max="9" width="9.7109375" style="39" customWidth="1"/>
    <col min="10" max="10" width="11.28515625" style="39" customWidth="1"/>
    <col min="11" max="11" width="28.28515625" style="1" customWidth="1"/>
    <col min="12" max="34" width="0" style="1" hidden="1" customWidth="1"/>
    <col min="35" max="16384" width="9.140625" style="1"/>
  </cols>
  <sheetData>
    <row r="1" spans="1:16">
      <c r="F1" s="1" t="s">
        <v>0</v>
      </c>
    </row>
    <row r="2" spans="1:16" ht="14.25" thickBot="1">
      <c r="C2" s="29" t="s">
        <v>1</v>
      </c>
    </row>
    <row r="3" spans="1:16">
      <c r="D3" s="7"/>
    </row>
    <row r="4" spans="1:16">
      <c r="A4" s="1" t="s">
        <v>2</v>
      </c>
    </row>
    <row r="5" spans="1:16" ht="17.25">
      <c r="A5" s="28" t="s">
        <v>358</v>
      </c>
      <c r="B5" s="30"/>
      <c r="C5" s="30"/>
      <c r="D5" s="30"/>
      <c r="E5" s="30"/>
      <c r="F5" s="30"/>
      <c r="G5" s="30"/>
    </row>
    <row r="6" spans="1:16">
      <c r="A6" s="28" t="s">
        <v>3</v>
      </c>
      <c r="B6" s="28" t="s">
        <v>115</v>
      </c>
      <c r="C6" s="28"/>
      <c r="D6" s="28"/>
      <c r="E6" s="28" t="s">
        <v>325</v>
      </c>
      <c r="F6" s="28"/>
      <c r="G6" s="28"/>
      <c r="P6" s="1">
        <f>1378-1274</f>
        <v>104</v>
      </c>
    </row>
    <row r="7" spans="1:16">
      <c r="A7" s="28" t="s">
        <v>81</v>
      </c>
      <c r="B7" s="28" t="s">
        <v>40</v>
      </c>
      <c r="C7" s="28"/>
      <c r="D7" s="28"/>
      <c r="E7" s="28"/>
      <c r="F7" s="28"/>
      <c r="G7" s="28"/>
    </row>
    <row r="8" spans="1:16">
      <c r="A8" s="7"/>
      <c r="B8" s="7"/>
      <c r="C8" s="7"/>
      <c r="D8" s="7"/>
      <c r="E8" s="7"/>
      <c r="F8" s="7"/>
      <c r="G8" s="7"/>
    </row>
    <row r="9" spans="1:16" s="9" customFormat="1" ht="40.5" customHeight="1">
      <c r="A9" s="22"/>
      <c r="B9" s="22"/>
      <c r="C9" s="22"/>
      <c r="D9" s="22" t="s">
        <v>393</v>
      </c>
      <c r="E9" s="31" t="s">
        <v>5</v>
      </c>
      <c r="F9" s="31"/>
      <c r="G9" s="22" t="s">
        <v>377</v>
      </c>
      <c r="H9" s="40" t="s">
        <v>377</v>
      </c>
      <c r="I9" s="40" t="s">
        <v>390</v>
      </c>
      <c r="J9" s="339" t="s">
        <v>394</v>
      </c>
      <c r="K9" s="389" t="s">
        <v>365</v>
      </c>
    </row>
    <row r="10" spans="1:16" s="9" customFormat="1" ht="40.5">
      <c r="A10" s="22" t="s">
        <v>6</v>
      </c>
      <c r="B10" s="22" t="s">
        <v>7</v>
      </c>
      <c r="C10" s="22" t="s">
        <v>392</v>
      </c>
      <c r="D10" s="22" t="s">
        <v>8</v>
      </c>
      <c r="E10" s="446" t="s">
        <v>364</v>
      </c>
      <c r="F10" s="446" t="s">
        <v>377</v>
      </c>
      <c r="G10" s="22" t="s">
        <v>9</v>
      </c>
      <c r="H10" s="40" t="s">
        <v>10</v>
      </c>
      <c r="I10" s="40" t="s">
        <v>10</v>
      </c>
      <c r="J10" s="40" t="s">
        <v>10</v>
      </c>
      <c r="K10" s="390" t="s">
        <v>366</v>
      </c>
    </row>
    <row r="11" spans="1:16" s="9" customFormat="1">
      <c r="A11" s="22" t="s">
        <v>11</v>
      </c>
      <c r="B11" s="22" t="s">
        <v>12</v>
      </c>
      <c r="C11" s="22" t="s">
        <v>13</v>
      </c>
      <c r="D11" s="22" t="s">
        <v>14</v>
      </c>
      <c r="E11" s="22" t="s">
        <v>15</v>
      </c>
      <c r="F11" s="22" t="s">
        <v>16</v>
      </c>
      <c r="G11" s="22" t="s">
        <v>17</v>
      </c>
      <c r="H11" s="40" t="s">
        <v>18</v>
      </c>
      <c r="I11" s="40" t="s">
        <v>101</v>
      </c>
      <c r="J11" s="40" t="s">
        <v>102</v>
      </c>
      <c r="K11" s="35" t="s">
        <v>103</v>
      </c>
    </row>
    <row r="12" spans="1:16" ht="39.75" customHeight="1">
      <c r="A12" s="14" t="s">
        <v>19</v>
      </c>
      <c r="B12" s="15" t="s">
        <v>20</v>
      </c>
      <c r="C12" s="22"/>
      <c r="D12" s="22"/>
      <c r="E12" s="22">
        <f>+D12-C12</f>
        <v>0</v>
      </c>
      <c r="F12" s="22">
        <f>+G12-D12</f>
        <v>0</v>
      </c>
      <c r="G12" s="22"/>
      <c r="H12" s="40"/>
      <c r="I12" s="214"/>
      <c r="J12" s="214"/>
      <c r="K12" s="13"/>
    </row>
    <row r="13" spans="1:16" ht="30" customHeight="1">
      <c r="A13" s="16" t="s">
        <v>41</v>
      </c>
      <c r="B13" s="33" t="s">
        <v>42</v>
      </c>
      <c r="C13" s="40">
        <v>915</v>
      </c>
      <c r="D13" s="40">
        <f>641+40</f>
        <v>681</v>
      </c>
      <c r="E13" s="40">
        <f>+D13-C13</f>
        <v>-234</v>
      </c>
      <c r="F13" s="40">
        <f>+G13-D13</f>
        <v>24</v>
      </c>
      <c r="G13" s="40">
        <f>60+645</f>
        <v>705</v>
      </c>
      <c r="H13" s="40">
        <f t="shared" ref="H13:J13" si="0">60+645</f>
        <v>705</v>
      </c>
      <c r="I13" s="40">
        <f t="shared" si="0"/>
        <v>705</v>
      </c>
      <c r="J13" s="40">
        <f t="shared" si="0"/>
        <v>705</v>
      </c>
      <c r="K13" s="13"/>
    </row>
    <row r="14" spans="1:16" ht="30.75" customHeight="1">
      <c r="A14" s="16" t="s">
        <v>43</v>
      </c>
      <c r="B14" s="33" t="s">
        <v>29</v>
      </c>
      <c r="C14" s="40"/>
      <c r="D14" s="40"/>
      <c r="E14" s="40">
        <f t="shared" ref="E14:E32" si="1">+D14-C14</f>
        <v>0</v>
      </c>
      <c r="F14" s="40">
        <f t="shared" ref="F14:F32" si="2">+G14-D14</f>
        <v>0</v>
      </c>
      <c r="G14" s="40"/>
      <c r="H14" s="40"/>
      <c r="I14" s="214"/>
      <c r="J14" s="214"/>
      <c r="K14" s="13"/>
      <c r="N14" s="1">
        <f>3*1277</f>
        <v>3831</v>
      </c>
    </row>
    <row r="15" spans="1:16" ht="30" customHeight="1">
      <c r="A15" s="18" t="s">
        <v>44</v>
      </c>
      <c r="B15" s="33" t="s">
        <v>45</v>
      </c>
      <c r="C15" s="40"/>
      <c r="D15" s="40"/>
      <c r="E15" s="40">
        <f t="shared" si="1"/>
        <v>0</v>
      </c>
      <c r="F15" s="40">
        <f t="shared" si="2"/>
        <v>0</v>
      </c>
      <c r="G15" s="40"/>
      <c r="H15" s="40"/>
      <c r="I15" s="214"/>
      <c r="J15" s="214"/>
      <c r="K15" s="13"/>
      <c r="N15" s="1">
        <f>+N14-1274-1032</f>
        <v>1525</v>
      </c>
    </row>
    <row r="16" spans="1:16" ht="21" customHeight="1">
      <c r="A16" s="20" t="s">
        <v>46</v>
      </c>
      <c r="B16" s="19" t="s">
        <v>45</v>
      </c>
      <c r="C16" s="215"/>
      <c r="D16" s="215"/>
      <c r="E16" s="40">
        <f t="shared" si="1"/>
        <v>0</v>
      </c>
      <c r="F16" s="40">
        <f t="shared" si="2"/>
        <v>0</v>
      </c>
      <c r="G16" s="215"/>
      <c r="H16" s="215"/>
      <c r="I16" s="214"/>
      <c r="J16" s="214"/>
      <c r="K16" s="13"/>
    </row>
    <row r="17" spans="1:19" ht="24" customHeight="1">
      <c r="A17" s="16" t="s">
        <v>47</v>
      </c>
      <c r="B17" s="33" t="s">
        <v>22</v>
      </c>
      <c r="C17" s="216">
        <v>5000</v>
      </c>
      <c r="D17" s="216">
        <v>5000</v>
      </c>
      <c r="E17" s="40">
        <f t="shared" si="1"/>
        <v>0</v>
      </c>
      <c r="F17" s="40">
        <f t="shared" si="2"/>
        <v>0</v>
      </c>
      <c r="G17" s="303">
        <v>5000</v>
      </c>
      <c r="H17" s="303">
        <f>+G17</f>
        <v>5000</v>
      </c>
      <c r="I17" s="306">
        <f>+H17</f>
        <v>5000</v>
      </c>
      <c r="J17" s="306">
        <f>+I17</f>
        <v>5000</v>
      </c>
      <c r="K17" s="13" t="s">
        <v>373</v>
      </c>
    </row>
    <row r="18" spans="1:19" ht="23.25" customHeight="1">
      <c r="A18" s="20" t="s">
        <v>48</v>
      </c>
      <c r="B18" s="21" t="s">
        <v>39</v>
      </c>
      <c r="C18" s="340"/>
      <c r="D18" s="340"/>
      <c r="E18" s="40">
        <f t="shared" si="1"/>
        <v>0</v>
      </c>
      <c r="F18" s="40">
        <f t="shared" si="2"/>
        <v>0</v>
      </c>
      <c r="G18" s="215"/>
      <c r="H18" s="340"/>
      <c r="I18" s="340"/>
      <c r="J18" s="340"/>
      <c r="K18" s="210"/>
    </row>
    <row r="19" spans="1:19" ht="28.5" customHeight="1">
      <c r="A19" s="18" t="s">
        <v>49</v>
      </c>
      <c r="B19" s="33" t="s">
        <v>34</v>
      </c>
      <c r="C19" s="40"/>
      <c r="D19" s="40"/>
      <c r="E19" s="40">
        <f t="shared" si="1"/>
        <v>0</v>
      </c>
      <c r="F19" s="40">
        <f t="shared" si="2"/>
        <v>0</v>
      </c>
      <c r="G19" s="40"/>
      <c r="H19" s="40"/>
      <c r="I19" s="214"/>
      <c r="J19" s="214"/>
      <c r="K19" s="13"/>
    </row>
    <row r="20" spans="1:19" ht="40.5" customHeight="1">
      <c r="A20" s="18" t="s">
        <v>37</v>
      </c>
      <c r="B20" s="33" t="s">
        <v>22</v>
      </c>
      <c r="C20" s="40"/>
      <c r="D20" s="40"/>
      <c r="E20" s="40">
        <f t="shared" si="1"/>
        <v>0</v>
      </c>
      <c r="F20" s="40">
        <f t="shared" si="2"/>
        <v>0</v>
      </c>
      <c r="G20" s="40"/>
      <c r="H20" s="40"/>
      <c r="I20" s="214"/>
      <c r="J20" s="214"/>
      <c r="K20" s="13"/>
    </row>
    <row r="21" spans="1:19" ht="30.75" customHeight="1">
      <c r="A21" s="20" t="s">
        <v>38</v>
      </c>
      <c r="B21" s="33" t="s">
        <v>39</v>
      </c>
      <c r="C21" s="303">
        <f>3780+16210</f>
        <v>19990</v>
      </c>
      <c r="D21" s="303">
        <v>16210</v>
      </c>
      <c r="E21" s="40">
        <f t="shared" si="1"/>
        <v>-3780</v>
      </c>
      <c r="F21" s="40">
        <f t="shared" si="2"/>
        <v>11620</v>
      </c>
      <c r="G21" s="303">
        <v>27830</v>
      </c>
      <c r="H21" s="303">
        <v>27830</v>
      </c>
      <c r="I21" s="303">
        <v>27830</v>
      </c>
      <c r="J21" s="303">
        <v>27830</v>
      </c>
      <c r="K21" s="13"/>
      <c r="Q21" s="1">
        <v>2420</v>
      </c>
    </row>
    <row r="22" spans="1:19" ht="33" customHeight="1">
      <c r="A22" s="22" t="s">
        <v>24</v>
      </c>
      <c r="B22" s="33" t="s">
        <v>21</v>
      </c>
      <c r="C22" s="40">
        <v>4</v>
      </c>
      <c r="D22" s="40">
        <v>4</v>
      </c>
      <c r="E22" s="40">
        <f t="shared" si="1"/>
        <v>0</v>
      </c>
      <c r="F22" s="40">
        <f t="shared" si="2"/>
        <v>0</v>
      </c>
      <c r="G22" s="40">
        <v>4</v>
      </c>
      <c r="H22" s="40">
        <f t="shared" ref="H22:H31" si="3">+G22</f>
        <v>4</v>
      </c>
      <c r="I22" s="214">
        <f t="shared" ref="I22:J31" si="4">+H22</f>
        <v>4</v>
      </c>
      <c r="J22" s="214">
        <f t="shared" si="4"/>
        <v>4</v>
      </c>
      <c r="K22" s="13"/>
      <c r="Q22" s="1">
        <f>+Q21*13</f>
        <v>31460</v>
      </c>
    </row>
    <row r="23" spans="1:19" ht="44.25" customHeight="1">
      <c r="A23" s="22" t="s">
        <v>25</v>
      </c>
      <c r="B23" s="33" t="s">
        <v>22</v>
      </c>
      <c r="C23" s="303">
        <f>+C24/C22/12</f>
        <v>542.08333333333337</v>
      </c>
      <c r="D23" s="303">
        <f>+D24/D22/12</f>
        <v>564.6875</v>
      </c>
      <c r="E23" s="40">
        <f t="shared" si="1"/>
        <v>22.604166666666629</v>
      </c>
      <c r="F23" s="40">
        <f t="shared" si="2"/>
        <v>23.734375</v>
      </c>
      <c r="G23" s="303">
        <f>+G24/G22/12</f>
        <v>588.421875</v>
      </c>
      <c r="H23" s="303">
        <f t="shared" ref="H23:J23" si="5">+H24/H22/12</f>
        <v>588.421875</v>
      </c>
      <c r="I23" s="303">
        <f t="shared" si="5"/>
        <v>588.421875</v>
      </c>
      <c r="J23" s="303">
        <f t="shared" si="5"/>
        <v>588.421875</v>
      </c>
      <c r="K23" s="13"/>
      <c r="Q23" s="1">
        <f>+Q22*10/100</f>
        <v>3146</v>
      </c>
    </row>
    <row r="24" spans="1:19" ht="40.5">
      <c r="A24" s="22" t="s">
        <v>30</v>
      </c>
      <c r="B24" s="33" t="s">
        <v>23</v>
      </c>
      <c r="C24" s="303">
        <f>-3150+29170</f>
        <v>26020</v>
      </c>
      <c r="D24" s="303">
        <v>27105</v>
      </c>
      <c r="E24" s="40">
        <f t="shared" si="1"/>
        <v>1085</v>
      </c>
      <c r="F24" s="40">
        <f t="shared" si="2"/>
        <v>1139.25</v>
      </c>
      <c r="G24" s="303">
        <f>+D24+D24*0.05-216</f>
        <v>28244.25</v>
      </c>
      <c r="H24" s="40">
        <f t="shared" si="3"/>
        <v>28244.25</v>
      </c>
      <c r="I24" s="214">
        <f t="shared" si="4"/>
        <v>28244.25</v>
      </c>
      <c r="J24" s="214">
        <f t="shared" si="4"/>
        <v>28244.25</v>
      </c>
      <c r="K24" s="13"/>
      <c r="N24" s="1">
        <f>+C23/C22</f>
        <v>135.52083333333334</v>
      </c>
      <c r="Q24" s="1">
        <f>+Q22+Q23</f>
        <v>34606</v>
      </c>
    </row>
    <row r="25" spans="1:19" ht="45.75" customHeight="1">
      <c r="A25" s="22" t="s">
        <v>322</v>
      </c>
      <c r="B25" s="388" t="s">
        <v>21</v>
      </c>
      <c r="C25" s="40">
        <v>23</v>
      </c>
      <c r="D25" s="40">
        <v>19</v>
      </c>
      <c r="E25" s="40">
        <f t="shared" si="1"/>
        <v>-4</v>
      </c>
      <c r="F25" s="40">
        <f t="shared" si="2"/>
        <v>0</v>
      </c>
      <c r="G25" s="40">
        <f t="shared" ref="G25:G31" si="6">+D25</f>
        <v>19</v>
      </c>
      <c r="H25" s="40">
        <f t="shared" si="3"/>
        <v>19</v>
      </c>
      <c r="I25" s="214">
        <f t="shared" si="4"/>
        <v>19</v>
      </c>
      <c r="J25" s="214">
        <f t="shared" si="4"/>
        <v>19</v>
      </c>
      <c r="K25" s="13"/>
    </row>
    <row r="26" spans="1:19" ht="57" customHeight="1">
      <c r="A26" s="22" t="s">
        <v>323</v>
      </c>
      <c r="B26" s="388" t="s">
        <v>22</v>
      </c>
      <c r="C26" s="303">
        <f>+C27/12/C25</f>
        <v>344.49311594202902</v>
      </c>
      <c r="D26" s="303">
        <f>+D27/12/D25</f>
        <v>394.79122807017546</v>
      </c>
      <c r="E26" s="454">
        <f t="shared" si="1"/>
        <v>50.298112128146443</v>
      </c>
      <c r="F26" s="303">
        <f t="shared" si="2"/>
        <v>19.739561403508731</v>
      </c>
      <c r="G26" s="303">
        <f>+G27/12/G25</f>
        <v>414.53078947368419</v>
      </c>
      <c r="H26" s="303">
        <f t="shared" si="3"/>
        <v>414.53078947368419</v>
      </c>
      <c r="I26" s="306">
        <f t="shared" si="4"/>
        <v>414.53078947368419</v>
      </c>
      <c r="J26" s="455">
        <f t="shared" si="4"/>
        <v>414.53078947368419</v>
      </c>
      <c r="K26" s="13"/>
      <c r="S26" s="1">
        <v>1928</v>
      </c>
    </row>
    <row r="27" spans="1:19" ht="46.5" customHeight="1">
      <c r="A27" s="22" t="s">
        <v>324</v>
      </c>
      <c r="B27" s="388" t="s">
        <v>23</v>
      </c>
      <c r="C27" s="214">
        <f>2446.2+93390.8-756.9</f>
        <v>95080.1</v>
      </c>
      <c r="D27" s="214">
        <f>+C27-5067.7</f>
        <v>90012.400000000009</v>
      </c>
      <c r="E27" s="40">
        <f t="shared" si="1"/>
        <v>-5067.6999999999971</v>
      </c>
      <c r="F27" s="40">
        <f t="shared" si="2"/>
        <v>4500.6199999999953</v>
      </c>
      <c r="G27" s="303">
        <f>+D27+D27*0.05</f>
        <v>94513.02</v>
      </c>
      <c r="H27" s="303">
        <f t="shared" si="3"/>
        <v>94513.02</v>
      </c>
      <c r="I27" s="306">
        <f t="shared" si="4"/>
        <v>94513.02</v>
      </c>
      <c r="J27" s="306">
        <f t="shared" si="4"/>
        <v>94513.02</v>
      </c>
      <c r="K27" s="13"/>
      <c r="M27" s="1">
        <f>+C27/C25</f>
        <v>4133.9173913043478</v>
      </c>
      <c r="S27" s="1">
        <f>+S26*13</f>
        <v>25064</v>
      </c>
    </row>
    <row r="28" spans="1:19" ht="39.75" customHeight="1">
      <c r="A28" s="22" t="s">
        <v>26</v>
      </c>
      <c r="B28" s="33" t="s">
        <v>21</v>
      </c>
      <c r="C28" s="215">
        <v>11</v>
      </c>
      <c r="D28" s="215">
        <v>15</v>
      </c>
      <c r="E28" s="40">
        <f t="shared" si="1"/>
        <v>4</v>
      </c>
      <c r="F28" s="40">
        <f t="shared" si="2"/>
        <v>0</v>
      </c>
      <c r="G28" s="215">
        <f t="shared" si="6"/>
        <v>15</v>
      </c>
      <c r="H28" s="215">
        <f t="shared" si="3"/>
        <v>15</v>
      </c>
      <c r="I28" s="215">
        <f t="shared" si="4"/>
        <v>15</v>
      </c>
      <c r="J28" s="215">
        <f t="shared" si="4"/>
        <v>15</v>
      </c>
      <c r="K28" s="13"/>
      <c r="S28" s="1">
        <f>+S27*10/100</f>
        <v>2506.4</v>
      </c>
    </row>
    <row r="29" spans="1:19" ht="52.5" customHeight="1">
      <c r="A29" s="22" t="s">
        <v>32</v>
      </c>
      <c r="B29" s="33" t="s">
        <v>22</v>
      </c>
      <c r="C29" s="303">
        <f>+C30/C28/12</f>
        <v>182.68181818181816</v>
      </c>
      <c r="D29" s="303">
        <f>+D30/D28/12</f>
        <v>135.63333333333333</v>
      </c>
      <c r="E29" s="303">
        <f t="shared" si="1"/>
        <v>-47.048484848484833</v>
      </c>
      <c r="F29" s="40">
        <f t="shared" si="2"/>
        <v>0</v>
      </c>
      <c r="G29" s="303">
        <f t="shared" si="6"/>
        <v>135.63333333333333</v>
      </c>
      <c r="H29" s="303">
        <f t="shared" si="3"/>
        <v>135.63333333333333</v>
      </c>
      <c r="I29" s="303">
        <f t="shared" si="4"/>
        <v>135.63333333333333</v>
      </c>
      <c r="J29" s="303">
        <f t="shared" si="4"/>
        <v>135.63333333333333</v>
      </c>
      <c r="K29" s="13"/>
      <c r="S29" s="1">
        <f>+S27+S28</f>
        <v>27570.400000000001</v>
      </c>
    </row>
    <row r="30" spans="1:19" ht="54">
      <c r="A30" s="22" t="s">
        <v>27</v>
      </c>
      <c r="B30" s="33" t="s">
        <v>23</v>
      </c>
      <c r="C30" s="214">
        <v>24114</v>
      </c>
      <c r="D30" s="214">
        <f>+C30+300</f>
        <v>24414</v>
      </c>
      <c r="E30" s="40">
        <f t="shared" si="1"/>
        <v>300</v>
      </c>
      <c r="F30" s="40">
        <f t="shared" si="2"/>
        <v>1220.7000000000007</v>
      </c>
      <c r="G30" s="303">
        <f>+D30+D30*0.05</f>
        <v>25634.7</v>
      </c>
      <c r="H30" s="214">
        <f t="shared" si="3"/>
        <v>25634.7</v>
      </c>
      <c r="I30" s="214">
        <f t="shared" si="4"/>
        <v>25634.7</v>
      </c>
      <c r="J30" s="214">
        <f t="shared" si="4"/>
        <v>25634.7</v>
      </c>
      <c r="K30" s="13"/>
      <c r="S30" s="1">
        <f>+S29/12</f>
        <v>2297.5333333333333</v>
      </c>
    </row>
    <row r="31" spans="1:19" ht="40.5">
      <c r="A31" s="22" t="s">
        <v>28</v>
      </c>
      <c r="B31" s="33" t="s">
        <v>21</v>
      </c>
      <c r="C31" s="214">
        <f>+C25+C28+C22</f>
        <v>38</v>
      </c>
      <c r="D31" s="214">
        <f>+D25+D28+D22</f>
        <v>38</v>
      </c>
      <c r="E31" s="40">
        <f t="shared" si="1"/>
        <v>0</v>
      </c>
      <c r="F31" s="40">
        <f t="shared" si="2"/>
        <v>0</v>
      </c>
      <c r="G31" s="214">
        <f t="shared" si="6"/>
        <v>38</v>
      </c>
      <c r="H31" s="214">
        <f t="shared" si="3"/>
        <v>38</v>
      </c>
      <c r="I31" s="214">
        <f t="shared" si="4"/>
        <v>38</v>
      </c>
      <c r="J31" s="214">
        <f t="shared" si="4"/>
        <v>38</v>
      </c>
      <c r="K31" s="13"/>
      <c r="S31" s="1">
        <f>+S30/6</f>
        <v>382.92222222222222</v>
      </c>
    </row>
    <row r="32" spans="1:19" ht="40.5">
      <c r="A32" s="22" t="s">
        <v>95</v>
      </c>
      <c r="B32" s="33" t="s">
        <v>23</v>
      </c>
      <c r="C32" s="306">
        <f>+C21+C24+C27+C30</f>
        <v>165204.1</v>
      </c>
      <c r="D32" s="306">
        <f>+D21+D24+D27+D30</f>
        <v>157741.40000000002</v>
      </c>
      <c r="E32" s="40">
        <f t="shared" si="1"/>
        <v>-7462.6999999999825</v>
      </c>
      <c r="F32" s="40">
        <f t="shared" si="2"/>
        <v>18480.570000000007</v>
      </c>
      <c r="G32" s="306">
        <f>+G21+G24+G27+G30</f>
        <v>176221.97000000003</v>
      </c>
      <c r="H32" s="306">
        <f t="shared" ref="H32:J32" si="7">+H21+H24+H27+H30</f>
        <v>176221.97000000003</v>
      </c>
      <c r="I32" s="306">
        <f t="shared" si="7"/>
        <v>176221.97000000003</v>
      </c>
      <c r="J32" s="306">
        <f t="shared" si="7"/>
        <v>176221.97000000003</v>
      </c>
      <c r="K32" s="22" t="s">
        <v>380</v>
      </c>
    </row>
    <row r="34" spans="1:10">
      <c r="C34" s="391"/>
      <c r="H34" s="362"/>
      <c r="J34" s="362"/>
    </row>
    <row r="35" spans="1:10">
      <c r="C35" s="391"/>
      <c r="D35" s="391"/>
      <c r="H35" s="362"/>
    </row>
    <row r="37" spans="1:10" ht="17.25">
      <c r="A37" s="356"/>
      <c r="B37" s="356" t="s">
        <v>106</v>
      </c>
      <c r="C37" s="356"/>
      <c r="D37" s="409"/>
      <c r="E37" s="356"/>
      <c r="F37" s="356" t="s">
        <v>273</v>
      </c>
      <c r="G37" s="356"/>
    </row>
    <row r="38" spans="1:10" ht="7.5" customHeight="1">
      <c r="A38" s="356"/>
      <c r="B38" s="356"/>
      <c r="C38" s="356"/>
      <c r="D38" s="356"/>
      <c r="E38" s="356"/>
      <c r="F38" s="356"/>
      <c r="G38" s="356"/>
    </row>
    <row r="39" spans="1:10" ht="17.25" hidden="1">
      <c r="A39" s="356"/>
      <c r="B39" s="356"/>
      <c r="C39" s="356"/>
      <c r="D39" s="356"/>
      <c r="E39" s="356"/>
      <c r="F39" s="356"/>
      <c r="G39" s="356"/>
    </row>
    <row r="40" spans="1:10" ht="81" customHeight="1">
      <c r="A40" s="456" t="s">
        <v>354</v>
      </c>
      <c r="B40" s="456"/>
      <c r="C40" s="456"/>
      <c r="D40" s="356"/>
      <c r="E40" s="356"/>
      <c r="F40" s="356" t="s">
        <v>361</v>
      </c>
      <c r="G40" s="356"/>
    </row>
  </sheetData>
  <mergeCells count="1">
    <mergeCell ref="A40:C40"/>
  </mergeCells>
  <phoneticPr fontId="0" type="noConversion"/>
  <pageMargins left="0.2" right="0.196850393700787" top="0.32" bottom="0.2" header="0.23622047244094499" footer="0.23622047244094499"/>
  <pageSetup paperSize="9" scale="7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J65"/>
  <sheetViews>
    <sheetView workbookViewId="0">
      <selection activeCell="B5" sqref="B5"/>
    </sheetView>
  </sheetViews>
  <sheetFormatPr defaultRowHeight="12.75"/>
  <cols>
    <col min="1" max="1" width="3.5703125" customWidth="1"/>
    <col min="2" max="2" width="29.140625" customWidth="1"/>
    <col min="3" max="3" width="16.140625" customWidth="1"/>
    <col min="4" max="4" width="15.42578125" customWidth="1"/>
    <col min="5" max="5" width="14.140625" customWidth="1"/>
    <col min="6" max="6" width="15.28515625" customWidth="1"/>
  </cols>
  <sheetData>
    <row r="2" spans="1:6" ht="17.25" customHeight="1">
      <c r="A2" s="481" t="s">
        <v>136</v>
      </c>
      <c r="B2" s="481"/>
      <c r="C2" s="481"/>
      <c r="D2" s="481"/>
      <c r="E2" s="481"/>
      <c r="F2" s="481"/>
    </row>
    <row r="3" spans="1:6" ht="15">
      <c r="B3" s="43"/>
      <c r="C3" s="43"/>
      <c r="D3" s="43"/>
      <c r="E3" s="43"/>
      <c r="F3" s="43"/>
    </row>
    <row r="4" spans="1:6" ht="18" customHeight="1">
      <c r="A4" s="52"/>
      <c r="B4" s="464" t="s">
        <v>408</v>
      </c>
      <c r="C4" s="464"/>
      <c r="D4" s="464"/>
      <c r="E4" s="464"/>
      <c r="F4" s="464"/>
    </row>
    <row r="5" spans="1:6" ht="21" customHeight="1">
      <c r="A5" s="53"/>
      <c r="B5" s="54"/>
      <c r="C5" s="54"/>
      <c r="D5" s="54"/>
      <c r="E5" s="44" t="s">
        <v>118</v>
      </c>
      <c r="F5" s="54"/>
    </row>
    <row r="6" spans="1:6">
      <c r="A6" s="55" t="s">
        <v>119</v>
      </c>
      <c r="B6" s="56" t="s">
        <v>120</v>
      </c>
      <c r="C6" s="56" t="s">
        <v>121</v>
      </c>
      <c r="D6" s="56" t="s">
        <v>122</v>
      </c>
      <c r="E6" s="56" t="s">
        <v>111</v>
      </c>
      <c r="F6" s="56" t="s">
        <v>123</v>
      </c>
    </row>
    <row r="7" spans="1:6" ht="19.5" customHeight="1">
      <c r="A7" s="41">
        <v>1</v>
      </c>
      <c r="B7" s="57" t="s">
        <v>274</v>
      </c>
      <c r="C7" s="58" t="s">
        <v>144</v>
      </c>
      <c r="D7" s="46">
        <v>1600</v>
      </c>
      <c r="E7" s="47">
        <f>+D7*F7</f>
        <v>400000</v>
      </c>
      <c r="F7" s="48">
        <v>250</v>
      </c>
    </row>
    <row r="8" spans="1:6" ht="19.5" customHeight="1">
      <c r="A8" s="41">
        <v>2</v>
      </c>
      <c r="B8" s="57" t="s">
        <v>137</v>
      </c>
      <c r="C8" s="45" t="s">
        <v>124</v>
      </c>
      <c r="D8" s="46">
        <v>250</v>
      </c>
      <c r="E8" s="47">
        <f t="shared" ref="E8:E43" si="0">+D8*F8</f>
        <v>500</v>
      </c>
      <c r="F8" s="48">
        <v>2</v>
      </c>
    </row>
    <row r="9" spans="1:6" ht="19.5" customHeight="1">
      <c r="A9" s="41">
        <v>3</v>
      </c>
      <c r="B9" s="57" t="s">
        <v>275</v>
      </c>
      <c r="C9" s="45" t="s">
        <v>124</v>
      </c>
      <c r="D9" s="46">
        <v>80</v>
      </c>
      <c r="E9" s="47">
        <f t="shared" si="0"/>
        <v>4000</v>
      </c>
      <c r="F9" s="48">
        <v>50</v>
      </c>
    </row>
    <row r="10" spans="1:6" ht="19.5" customHeight="1">
      <c r="A10" s="41">
        <v>4</v>
      </c>
      <c r="B10" s="57" t="s">
        <v>139</v>
      </c>
      <c r="C10" s="45" t="s">
        <v>124</v>
      </c>
      <c r="D10" s="46">
        <v>40</v>
      </c>
      <c r="E10" s="47">
        <f t="shared" si="0"/>
        <v>12000</v>
      </c>
      <c r="F10" s="48">
        <v>300</v>
      </c>
    </row>
    <row r="11" spans="1:6" ht="19.5" customHeight="1">
      <c r="A11" s="41">
        <v>5</v>
      </c>
      <c r="B11" s="57" t="s">
        <v>276</v>
      </c>
      <c r="C11" s="45" t="s">
        <v>124</v>
      </c>
      <c r="D11" s="46">
        <v>60</v>
      </c>
      <c r="E11" s="47">
        <f t="shared" si="0"/>
        <v>1800</v>
      </c>
      <c r="F11" s="48">
        <v>30</v>
      </c>
    </row>
    <row r="12" spans="1:6" ht="19.5" customHeight="1">
      <c r="A12" s="41">
        <v>6</v>
      </c>
      <c r="B12" s="57" t="s">
        <v>277</v>
      </c>
      <c r="C12" s="45" t="s">
        <v>124</v>
      </c>
      <c r="D12" s="46">
        <v>150</v>
      </c>
      <c r="E12" s="47">
        <f t="shared" si="0"/>
        <v>1500</v>
      </c>
      <c r="F12" s="48">
        <v>10</v>
      </c>
    </row>
    <row r="13" spans="1:6" ht="19.5" customHeight="1">
      <c r="A13" s="41">
        <v>7</v>
      </c>
      <c r="B13" s="57" t="s">
        <v>278</v>
      </c>
      <c r="C13" s="45" t="s">
        <v>124</v>
      </c>
      <c r="D13" s="46">
        <v>50</v>
      </c>
      <c r="E13" s="47">
        <f t="shared" si="0"/>
        <v>15000</v>
      </c>
      <c r="F13" s="48">
        <v>300</v>
      </c>
    </row>
    <row r="14" spans="1:6" ht="19.5" customHeight="1">
      <c r="A14" s="41">
        <v>8</v>
      </c>
      <c r="B14" s="57" t="s">
        <v>279</v>
      </c>
      <c r="C14" s="45" t="s">
        <v>124</v>
      </c>
      <c r="D14" s="46">
        <v>70</v>
      </c>
      <c r="E14" s="47">
        <f t="shared" si="0"/>
        <v>7000</v>
      </c>
      <c r="F14" s="48">
        <v>100</v>
      </c>
    </row>
    <row r="15" spans="1:6" ht="19.5" customHeight="1">
      <c r="A15" s="41">
        <v>9</v>
      </c>
      <c r="B15" s="57" t="s">
        <v>280</v>
      </c>
      <c r="C15" s="45" t="s">
        <v>124</v>
      </c>
      <c r="D15" s="46">
        <v>200</v>
      </c>
      <c r="E15" s="47">
        <f t="shared" si="0"/>
        <v>6000</v>
      </c>
      <c r="F15" s="48">
        <v>30</v>
      </c>
    </row>
    <row r="16" spans="1:6" ht="19.5" customHeight="1">
      <c r="A16" s="41">
        <v>10</v>
      </c>
      <c r="B16" s="57" t="s">
        <v>281</v>
      </c>
      <c r="C16" s="45" t="s">
        <v>124</v>
      </c>
      <c r="D16" s="46">
        <v>600</v>
      </c>
      <c r="E16" s="47">
        <f t="shared" si="0"/>
        <v>9000</v>
      </c>
      <c r="F16" s="48">
        <v>15</v>
      </c>
    </row>
    <row r="17" spans="1:10" ht="19.5" customHeight="1">
      <c r="A17" s="41">
        <v>11</v>
      </c>
      <c r="B17" s="57" t="s">
        <v>282</v>
      </c>
      <c r="C17" s="45" t="s">
        <v>124</v>
      </c>
      <c r="D17" s="46">
        <v>12</v>
      </c>
      <c r="E17" s="47">
        <f t="shared" si="0"/>
        <v>1800</v>
      </c>
      <c r="F17" s="48">
        <v>150</v>
      </c>
    </row>
    <row r="18" spans="1:10" ht="19.5" customHeight="1">
      <c r="A18" s="41">
        <v>12</v>
      </c>
      <c r="B18" s="57" t="s">
        <v>283</v>
      </c>
      <c r="C18" s="45" t="s">
        <v>124</v>
      </c>
      <c r="D18" s="46">
        <v>150</v>
      </c>
      <c r="E18" s="47">
        <f t="shared" si="0"/>
        <v>1500</v>
      </c>
      <c r="F18" s="48">
        <v>10</v>
      </c>
    </row>
    <row r="19" spans="1:10" ht="19.5" customHeight="1">
      <c r="A19" s="41">
        <v>13</v>
      </c>
      <c r="B19" s="57" t="s">
        <v>140</v>
      </c>
      <c r="C19" s="45" t="s">
        <v>124</v>
      </c>
      <c r="D19" s="46">
        <v>80</v>
      </c>
      <c r="E19" s="47">
        <f t="shared" si="0"/>
        <v>2400</v>
      </c>
      <c r="F19" s="48">
        <v>30</v>
      </c>
    </row>
    <row r="20" spans="1:10" ht="19.5" customHeight="1">
      <c r="A20" s="41">
        <v>14</v>
      </c>
      <c r="B20" s="57" t="s">
        <v>284</v>
      </c>
      <c r="C20" s="45" t="s">
        <v>124</v>
      </c>
      <c r="D20" s="46">
        <v>20</v>
      </c>
      <c r="E20" s="47">
        <f t="shared" si="0"/>
        <v>1600</v>
      </c>
      <c r="F20" s="48">
        <v>80</v>
      </c>
    </row>
    <row r="21" spans="1:10" ht="19.5" customHeight="1">
      <c r="A21" s="41">
        <v>15</v>
      </c>
      <c r="B21" s="57" t="s">
        <v>285</v>
      </c>
      <c r="C21" s="45" t="s">
        <v>124</v>
      </c>
      <c r="D21" s="46">
        <v>25</v>
      </c>
      <c r="E21" s="47">
        <f t="shared" si="0"/>
        <v>2000</v>
      </c>
      <c r="F21" s="48">
        <v>80</v>
      </c>
    </row>
    <row r="22" spans="1:10" ht="19.5" customHeight="1">
      <c r="A22" s="41">
        <v>16</v>
      </c>
      <c r="B22" s="57" t="s">
        <v>286</v>
      </c>
      <c r="C22" s="45" t="s">
        <v>124</v>
      </c>
      <c r="D22" s="46">
        <v>70</v>
      </c>
      <c r="E22" s="47">
        <f t="shared" si="0"/>
        <v>1400</v>
      </c>
      <c r="F22" s="48">
        <v>20</v>
      </c>
    </row>
    <row r="23" spans="1:10" ht="19.5" customHeight="1">
      <c r="A23" s="41">
        <v>17</v>
      </c>
      <c r="B23" s="57" t="s">
        <v>287</v>
      </c>
      <c r="C23" s="45" t="s">
        <v>124</v>
      </c>
      <c r="D23" s="46">
        <v>200</v>
      </c>
      <c r="E23" s="47">
        <f t="shared" si="0"/>
        <v>6000</v>
      </c>
      <c r="F23" s="48">
        <v>30</v>
      </c>
    </row>
    <row r="24" spans="1:10" hidden="1">
      <c r="A24" s="41">
        <v>18</v>
      </c>
      <c r="B24" s="57"/>
      <c r="C24" s="45"/>
      <c r="D24" s="46"/>
      <c r="E24" s="47">
        <f>+D24*F25</f>
        <v>0</v>
      </c>
      <c r="F24" s="48"/>
    </row>
    <row r="25" spans="1:10" hidden="1">
      <c r="A25" s="41">
        <v>19</v>
      </c>
      <c r="B25" s="57"/>
      <c r="C25" s="59"/>
      <c r="D25" s="46"/>
      <c r="E25" s="47">
        <f>+D25*F26</f>
        <v>0</v>
      </c>
      <c r="F25" s="48"/>
    </row>
    <row r="26" spans="1:10" hidden="1">
      <c r="A26" s="41">
        <v>20</v>
      </c>
      <c r="B26" s="57"/>
      <c r="C26" s="59"/>
      <c r="D26" s="46"/>
      <c r="E26" s="47">
        <f t="shared" si="0"/>
        <v>0</v>
      </c>
      <c r="F26" s="48"/>
    </row>
    <row r="27" spans="1:10" hidden="1">
      <c r="A27" s="41">
        <v>21</v>
      </c>
      <c r="B27" s="57"/>
      <c r="C27" s="45"/>
      <c r="D27" s="46"/>
      <c r="E27" s="47">
        <f t="shared" si="0"/>
        <v>0</v>
      </c>
      <c r="F27" s="48"/>
    </row>
    <row r="28" spans="1:10" hidden="1">
      <c r="A28" s="41">
        <v>22</v>
      </c>
      <c r="B28" s="57"/>
      <c r="C28" s="45"/>
      <c r="D28" s="46"/>
      <c r="E28" s="47">
        <f t="shared" si="0"/>
        <v>0</v>
      </c>
      <c r="F28" s="48"/>
    </row>
    <row r="29" spans="1:10" hidden="1">
      <c r="A29" s="41">
        <v>23</v>
      </c>
      <c r="B29" s="57"/>
      <c r="C29" s="45"/>
      <c r="D29" s="46"/>
      <c r="E29" s="47">
        <f t="shared" si="0"/>
        <v>0</v>
      </c>
      <c r="F29" s="48"/>
      <c r="J29" s="60" t="s">
        <v>138</v>
      </c>
    </row>
    <row r="30" spans="1:10" hidden="1">
      <c r="A30" s="41">
        <v>24</v>
      </c>
      <c r="B30" s="57"/>
      <c r="C30" s="45"/>
      <c r="D30" s="46"/>
      <c r="E30" s="47">
        <f t="shared" si="0"/>
        <v>0</v>
      </c>
      <c r="F30" s="48"/>
    </row>
    <row r="31" spans="1:10" hidden="1">
      <c r="A31" s="41">
        <v>25</v>
      </c>
      <c r="B31" s="57"/>
      <c r="C31" s="50"/>
      <c r="D31" s="46"/>
      <c r="E31" s="47">
        <f t="shared" si="0"/>
        <v>0</v>
      </c>
      <c r="F31" s="46"/>
    </row>
    <row r="32" spans="1:10" hidden="1">
      <c r="A32" s="41">
        <v>26</v>
      </c>
      <c r="B32" s="57"/>
      <c r="C32" s="50"/>
      <c r="D32" s="46"/>
      <c r="E32" s="47">
        <f t="shared" si="0"/>
        <v>0</v>
      </c>
      <c r="F32" s="46"/>
    </row>
    <row r="33" spans="1:6" hidden="1">
      <c r="A33" s="41">
        <v>27</v>
      </c>
      <c r="B33" s="57"/>
      <c r="C33" s="45"/>
      <c r="D33" s="46"/>
      <c r="E33" s="47">
        <f t="shared" si="0"/>
        <v>0</v>
      </c>
      <c r="F33" s="48"/>
    </row>
    <row r="34" spans="1:6" hidden="1">
      <c r="A34" s="41">
        <v>28</v>
      </c>
      <c r="B34" s="57"/>
      <c r="C34" s="45"/>
      <c r="D34" s="46"/>
      <c r="E34" s="47">
        <f t="shared" si="0"/>
        <v>0</v>
      </c>
      <c r="F34" s="48"/>
    </row>
    <row r="35" spans="1:6" hidden="1">
      <c r="A35" s="41">
        <v>29</v>
      </c>
      <c r="B35" s="57"/>
      <c r="C35" s="45"/>
      <c r="D35" s="46"/>
      <c r="E35" s="47">
        <f t="shared" si="0"/>
        <v>0</v>
      </c>
      <c r="F35" s="48"/>
    </row>
    <row r="36" spans="1:6" hidden="1">
      <c r="A36" s="41">
        <v>30</v>
      </c>
      <c r="B36" s="57"/>
      <c r="C36" s="45"/>
      <c r="D36" s="46"/>
      <c r="E36" s="47">
        <f t="shared" si="0"/>
        <v>0</v>
      </c>
      <c r="F36" s="48"/>
    </row>
    <row r="37" spans="1:6" hidden="1">
      <c r="A37" s="41">
        <v>31</v>
      </c>
      <c r="B37" s="57"/>
      <c r="C37" s="45"/>
      <c r="D37" s="46"/>
      <c r="E37" s="47">
        <f t="shared" si="0"/>
        <v>0</v>
      </c>
      <c r="F37" s="48"/>
    </row>
    <row r="38" spans="1:6" hidden="1">
      <c r="A38" s="41">
        <v>32</v>
      </c>
      <c r="B38" s="57"/>
      <c r="C38" s="45"/>
      <c r="D38" s="46"/>
      <c r="E38" s="47">
        <f t="shared" si="0"/>
        <v>0</v>
      </c>
      <c r="F38" s="48"/>
    </row>
    <row r="39" spans="1:6" hidden="1">
      <c r="A39" s="41">
        <v>33</v>
      </c>
      <c r="B39" s="57"/>
      <c r="C39" s="50"/>
      <c r="D39" s="46"/>
      <c r="E39" s="47">
        <f t="shared" si="0"/>
        <v>0</v>
      </c>
      <c r="F39" s="46"/>
    </row>
    <row r="40" spans="1:6" hidden="1">
      <c r="A40" s="41">
        <v>34</v>
      </c>
      <c r="B40" s="57"/>
      <c r="C40" s="45"/>
      <c r="D40" s="46"/>
      <c r="E40" s="47">
        <f t="shared" si="0"/>
        <v>0</v>
      </c>
      <c r="F40" s="48"/>
    </row>
    <row r="41" spans="1:6" hidden="1">
      <c r="A41" s="41">
        <v>35</v>
      </c>
      <c r="B41" s="57"/>
      <c r="C41" s="45"/>
      <c r="D41" s="46"/>
      <c r="E41" s="47">
        <f t="shared" si="0"/>
        <v>0</v>
      </c>
      <c r="F41" s="48"/>
    </row>
    <row r="42" spans="1:6" hidden="1">
      <c r="A42" s="41">
        <v>36</v>
      </c>
      <c r="B42" s="57"/>
      <c r="C42" s="45"/>
      <c r="D42" s="46"/>
      <c r="E42" s="47">
        <f t="shared" si="0"/>
        <v>0</v>
      </c>
      <c r="F42" s="48"/>
    </row>
    <row r="43" spans="1:6" hidden="1">
      <c r="A43" s="41">
        <v>37</v>
      </c>
      <c r="B43" s="57"/>
      <c r="C43" s="45"/>
      <c r="D43" s="46"/>
      <c r="E43" s="47">
        <f t="shared" si="0"/>
        <v>0</v>
      </c>
      <c r="F43" s="48"/>
    </row>
    <row r="44" spans="1:6" hidden="1">
      <c r="A44" s="41">
        <v>38</v>
      </c>
      <c r="B44" s="57"/>
      <c r="C44" s="45"/>
      <c r="D44" s="46"/>
      <c r="E44" s="47"/>
      <c r="F44" s="48"/>
    </row>
    <row r="45" spans="1:6" hidden="1">
      <c r="A45" s="41">
        <v>39</v>
      </c>
      <c r="B45" s="57"/>
      <c r="C45" s="45"/>
      <c r="D45" s="46"/>
      <c r="E45" s="47"/>
      <c r="F45" s="48"/>
    </row>
    <row r="46" spans="1:6" hidden="1">
      <c r="A46" s="41">
        <v>40</v>
      </c>
      <c r="B46" s="57"/>
      <c r="C46" s="45"/>
      <c r="D46" s="46"/>
      <c r="E46" s="47"/>
      <c r="F46" s="48"/>
    </row>
    <row r="47" spans="1:6" hidden="1">
      <c r="A47" s="41">
        <v>41</v>
      </c>
      <c r="B47" s="57"/>
      <c r="C47" s="45"/>
      <c r="D47" s="46"/>
      <c r="E47" s="47"/>
      <c r="F47" s="48"/>
    </row>
    <row r="48" spans="1:6" hidden="1">
      <c r="A48" s="41">
        <v>42</v>
      </c>
      <c r="B48" s="57"/>
      <c r="C48" s="45"/>
      <c r="D48" s="46"/>
      <c r="E48" s="47"/>
      <c r="F48" s="48"/>
    </row>
    <row r="49" spans="1:6" hidden="1">
      <c r="A49" s="41">
        <v>43</v>
      </c>
      <c r="B49" s="57"/>
      <c r="C49" s="45"/>
      <c r="D49" s="46"/>
      <c r="E49" s="47"/>
      <c r="F49" s="48"/>
    </row>
    <row r="50" spans="1:6" hidden="1">
      <c r="A50" s="41">
        <v>44</v>
      </c>
      <c r="B50" s="57"/>
      <c r="C50" s="45"/>
      <c r="D50" s="46"/>
      <c r="E50" s="47"/>
      <c r="F50" s="48"/>
    </row>
    <row r="51" spans="1:6" hidden="1">
      <c r="A51" s="41">
        <v>45</v>
      </c>
      <c r="B51" s="57"/>
      <c r="C51" s="50"/>
      <c r="D51" s="46"/>
      <c r="E51" s="47"/>
      <c r="F51" s="46"/>
    </row>
    <row r="52" spans="1:6" hidden="1">
      <c r="A52" s="41">
        <v>46</v>
      </c>
      <c r="B52" s="57"/>
      <c r="C52" s="50"/>
      <c r="D52" s="46"/>
      <c r="E52" s="47"/>
      <c r="F52" s="46"/>
    </row>
    <row r="53" spans="1:6" hidden="1">
      <c r="A53" s="41">
        <v>47</v>
      </c>
      <c r="B53" s="57"/>
      <c r="C53" s="50"/>
      <c r="D53" s="46"/>
      <c r="E53" s="47"/>
      <c r="F53" s="46"/>
    </row>
    <row r="54" spans="1:6" hidden="1">
      <c r="A54" s="41">
        <v>48</v>
      </c>
      <c r="B54" s="49"/>
      <c r="C54" s="50"/>
      <c r="D54" s="46"/>
      <c r="E54" s="47"/>
      <c r="F54" s="46"/>
    </row>
    <row r="55" spans="1:6" hidden="1">
      <c r="A55" s="41">
        <v>49</v>
      </c>
      <c r="B55" s="49"/>
      <c r="C55" s="50"/>
      <c r="D55" s="46"/>
      <c r="E55" s="47"/>
      <c r="F55" s="46"/>
    </row>
    <row r="56" spans="1:6" hidden="1">
      <c r="A56" s="41">
        <v>50</v>
      </c>
      <c r="B56" s="49"/>
      <c r="C56" s="45"/>
      <c r="D56" s="46"/>
      <c r="E56" s="47"/>
      <c r="F56" s="48"/>
    </row>
    <row r="57" spans="1:6" hidden="1">
      <c r="A57" s="41">
        <v>51</v>
      </c>
      <c r="B57" s="49"/>
      <c r="C57" s="45"/>
      <c r="D57" s="46"/>
      <c r="E57" s="47"/>
      <c r="F57" s="48"/>
    </row>
    <row r="58" spans="1:6" ht="15" customHeight="1">
      <c r="A58" s="467" t="s">
        <v>111</v>
      </c>
      <c r="B58" s="468"/>
      <c r="C58" s="468"/>
      <c r="D58" s="469"/>
      <c r="E58" s="47">
        <f>SUM(E7:E57)</f>
        <v>473500</v>
      </c>
      <c r="F58" s="41"/>
    </row>
    <row r="62" spans="1:6" ht="13.5">
      <c r="B62" s="1" t="s">
        <v>106</v>
      </c>
      <c r="D62" s="1" t="s">
        <v>273</v>
      </c>
      <c r="E62" s="1"/>
    </row>
    <row r="63" spans="1:6" ht="13.5">
      <c r="B63" s="1"/>
      <c r="C63" s="1"/>
      <c r="D63" s="1"/>
      <c r="E63" s="1"/>
    </row>
    <row r="64" spans="1:6" ht="13.5">
      <c r="B64" s="1"/>
      <c r="C64" s="1"/>
      <c r="D64" s="1"/>
      <c r="E64" s="1"/>
    </row>
    <row r="65" spans="2:5" ht="39" customHeight="1">
      <c r="B65" s="9" t="s">
        <v>354</v>
      </c>
      <c r="C65" s="1"/>
      <c r="D65" s="401" t="s">
        <v>361</v>
      </c>
      <c r="E65" s="1"/>
    </row>
  </sheetData>
  <mergeCells count="3">
    <mergeCell ref="A2:F2"/>
    <mergeCell ref="B4:F4"/>
    <mergeCell ref="A58:D58"/>
  </mergeCells>
  <pageMargins left="0.3" right="0.19" top="0.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26"/>
  <sheetViews>
    <sheetView workbookViewId="0">
      <selection activeCell="F18" sqref="F18"/>
    </sheetView>
  </sheetViews>
  <sheetFormatPr defaultColWidth="9.140625" defaultRowHeight="16.5"/>
  <cols>
    <col min="1" max="1" width="9.140625" style="169"/>
    <col min="2" max="2" width="55.85546875" style="169" customWidth="1"/>
    <col min="3" max="3" width="15.42578125" style="169" customWidth="1"/>
    <col min="4" max="4" width="9.140625" style="169"/>
    <col min="5" max="5" width="9.42578125" style="169" bestFit="1" customWidth="1"/>
    <col min="6" max="16384" width="9.140625" style="169"/>
  </cols>
  <sheetData>
    <row r="1" spans="1:8" s="166" customFormat="1" ht="17.25">
      <c r="B1" s="167" t="s">
        <v>164</v>
      </c>
      <c r="C1" s="167"/>
    </row>
    <row r="2" spans="1:8" s="166" customFormat="1" ht="17.25">
      <c r="B2" s="167"/>
      <c r="C2" s="167"/>
    </row>
    <row r="3" spans="1:8" s="166" customFormat="1" ht="17.25">
      <c r="A3" s="168"/>
      <c r="B3" s="167" t="s">
        <v>192</v>
      </c>
      <c r="C3" s="167"/>
    </row>
    <row r="4" spans="1:8" s="166" customFormat="1" ht="17.25">
      <c r="A4" s="168"/>
      <c r="B4" s="167" t="s">
        <v>193</v>
      </c>
      <c r="C4" s="167" t="s">
        <v>398</v>
      </c>
    </row>
    <row r="5" spans="1:8">
      <c r="B5" s="166"/>
      <c r="C5" s="170"/>
    </row>
    <row r="6" spans="1:8" s="173" customFormat="1">
      <c r="A6" s="171" t="s">
        <v>194</v>
      </c>
      <c r="B6" s="172" t="s">
        <v>120</v>
      </c>
      <c r="C6" s="172" t="s">
        <v>195</v>
      </c>
    </row>
    <row r="7" spans="1:8" s="175" customFormat="1">
      <c r="A7" s="174">
        <v>1</v>
      </c>
      <c r="B7" s="174">
        <f>A7+1</f>
        <v>2</v>
      </c>
      <c r="C7" s="174">
        <v>3</v>
      </c>
      <c r="D7" s="169"/>
    </row>
    <row r="8" spans="1:8" s="178" customFormat="1" ht="39" customHeight="1">
      <c r="A8" s="176">
        <v>1</v>
      </c>
      <c r="B8" s="177" t="s">
        <v>196</v>
      </c>
      <c r="C8" s="447">
        <v>300000</v>
      </c>
      <c r="D8" s="169"/>
    </row>
    <row r="9" spans="1:8" ht="39" customHeight="1">
      <c r="A9" s="179">
        <v>2</v>
      </c>
      <c r="B9" s="177" t="s">
        <v>197</v>
      </c>
      <c r="C9" s="448">
        <v>50000</v>
      </c>
    </row>
    <row r="10" spans="1:8" ht="39" customHeight="1">
      <c r="A10" s="176">
        <v>3</v>
      </c>
      <c r="B10" s="177" t="s">
        <v>198</v>
      </c>
      <c r="C10" s="448">
        <v>40000</v>
      </c>
    </row>
    <row r="11" spans="1:8" ht="39" customHeight="1">
      <c r="A11" s="179">
        <v>4</v>
      </c>
      <c r="B11" s="177" t="s">
        <v>199</v>
      </c>
      <c r="C11" s="448">
        <v>36000</v>
      </c>
      <c r="E11" s="180"/>
    </row>
    <row r="12" spans="1:8" ht="39" customHeight="1">
      <c r="A12" s="176">
        <v>5</v>
      </c>
      <c r="B12" s="177" t="s">
        <v>200</v>
      </c>
      <c r="C12" s="448">
        <v>138000</v>
      </c>
    </row>
    <row r="13" spans="1:8">
      <c r="A13" s="179"/>
      <c r="B13" s="177" t="s">
        <v>111</v>
      </c>
      <c r="C13" s="449">
        <f>SUM(C8:C12)</f>
        <v>564000</v>
      </c>
    </row>
    <row r="14" spans="1:8">
      <c r="A14" s="182"/>
      <c r="B14" s="342"/>
      <c r="C14" s="343"/>
      <c r="H14" s="402"/>
    </row>
    <row r="15" spans="1:8">
      <c r="A15" s="182"/>
      <c r="B15" s="342"/>
      <c r="C15" s="343"/>
      <c r="H15" s="402">
        <f>4400*12</f>
        <v>52800</v>
      </c>
    </row>
    <row r="16" spans="1:8">
      <c r="H16" s="402"/>
    </row>
    <row r="17" spans="1:8" ht="27.75" customHeight="1">
      <c r="A17" s="179">
        <v>1</v>
      </c>
      <c r="B17" s="181" t="s">
        <v>132</v>
      </c>
      <c r="C17" s="449">
        <v>1000000</v>
      </c>
      <c r="D17" s="182"/>
    </row>
    <row r="18" spans="1:8" ht="29.25" customHeight="1">
      <c r="A18" s="407"/>
      <c r="B18" s="288" t="s">
        <v>111</v>
      </c>
      <c r="C18" s="450">
        <f>SUM(C17:C17)</f>
        <v>1000000</v>
      </c>
      <c r="D18" s="377"/>
      <c r="E18" s="378"/>
      <c r="G18" s="296"/>
    </row>
    <row r="19" spans="1:8">
      <c r="A19" s="179"/>
      <c r="B19" s="13" t="s">
        <v>356</v>
      </c>
      <c r="C19" s="451">
        <f>+C18+C13</f>
        <v>1564000</v>
      </c>
    </row>
    <row r="20" spans="1:8">
      <c r="A20" s="182"/>
      <c r="B20" s="7"/>
      <c r="C20" s="408"/>
    </row>
    <row r="21" spans="1:8" ht="27.75" customHeight="1">
      <c r="A21" s="1" t="s">
        <v>359</v>
      </c>
      <c r="C21" s="39" t="s">
        <v>273</v>
      </c>
      <c r="E21" s="356"/>
      <c r="F21" s="356"/>
      <c r="H21" s="39"/>
    </row>
    <row r="22" spans="1:8" ht="17.25">
      <c r="A22" s="1"/>
      <c r="B22" s="1"/>
      <c r="C22" s="39"/>
      <c r="E22" s="380"/>
      <c r="F22" s="381"/>
      <c r="G22" s="1"/>
      <c r="H22" s="39"/>
    </row>
    <row r="23" spans="1:8" ht="30.75" customHeight="1">
      <c r="A23" s="482" t="s">
        <v>362</v>
      </c>
      <c r="B23" s="482"/>
      <c r="C23" s="39" t="s">
        <v>361</v>
      </c>
      <c r="E23" s="380"/>
      <c r="F23" s="381"/>
      <c r="G23" s="1"/>
      <c r="H23" s="39"/>
    </row>
    <row r="26" spans="1:8">
      <c r="C26" s="432"/>
    </row>
  </sheetData>
  <mergeCells count="1">
    <mergeCell ref="A23:B23"/>
  </mergeCells>
  <conditionalFormatting sqref="B17 C1:C4 C6:C8 B1:B15">
    <cfRule type="cellIs" dxfId="1" priority="3" stopIfTrue="1" operator="equal">
      <formula>0</formula>
    </cfRule>
  </conditionalFormatting>
  <pageMargins left="0.35" right="0.28999999999999998" top="0.53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19"/>
  <sheetViews>
    <sheetView workbookViewId="0">
      <selection activeCell="I17" sqref="I17"/>
    </sheetView>
  </sheetViews>
  <sheetFormatPr defaultRowHeight="12.75"/>
  <cols>
    <col min="1" max="1" width="35.7109375" customWidth="1"/>
    <col min="3" max="5" width="11.42578125" customWidth="1"/>
  </cols>
  <sheetData>
    <row r="1" spans="1:5" ht="51.75" customHeight="1">
      <c r="A1" s="485" t="s">
        <v>164</v>
      </c>
      <c r="B1" s="485"/>
      <c r="C1" s="485"/>
      <c r="D1" s="485"/>
      <c r="E1" s="485"/>
    </row>
    <row r="3" spans="1:5">
      <c r="A3" s="486" t="s">
        <v>399</v>
      </c>
      <c r="B3" s="486"/>
      <c r="C3" s="486"/>
      <c r="D3" s="486"/>
      <c r="E3" s="486"/>
    </row>
    <row r="6" spans="1:5">
      <c r="A6" s="487" t="s">
        <v>201</v>
      </c>
      <c r="B6" s="488"/>
      <c r="C6" s="489"/>
      <c r="D6" s="183"/>
      <c r="E6" s="184">
        <f>SUM(E7:E13)</f>
        <v>1735</v>
      </c>
    </row>
    <row r="7" spans="1:5" ht="27" customHeight="1">
      <c r="A7" s="207" t="s">
        <v>202</v>
      </c>
      <c r="B7" s="186" t="s">
        <v>203</v>
      </c>
      <c r="C7" s="187">
        <v>3600</v>
      </c>
      <c r="D7" s="186">
        <v>450</v>
      </c>
      <c r="E7" s="206">
        <f>C7*D7/1000</f>
        <v>1620</v>
      </c>
    </row>
    <row r="8" spans="1:5" ht="61.5" customHeight="1">
      <c r="A8" s="490" t="s">
        <v>228</v>
      </c>
      <c r="B8" s="490"/>
      <c r="C8" s="490"/>
      <c r="D8" s="490"/>
      <c r="E8" s="490"/>
    </row>
    <row r="9" spans="1:5" ht="27" customHeight="1">
      <c r="A9" s="207" t="s">
        <v>204</v>
      </c>
      <c r="B9" s="186" t="s">
        <v>141</v>
      </c>
      <c r="C9" s="187">
        <v>4</v>
      </c>
      <c r="D9" s="186">
        <v>7000</v>
      </c>
      <c r="E9" s="188">
        <f t="shared" ref="E9:E14" si="0">D9*C9/1000</f>
        <v>28</v>
      </c>
    </row>
    <row r="10" spans="1:5" ht="27" customHeight="1">
      <c r="A10" s="185" t="s">
        <v>205</v>
      </c>
      <c r="B10" s="186" t="s">
        <v>141</v>
      </c>
      <c r="C10" s="187">
        <v>6</v>
      </c>
      <c r="D10" s="186">
        <v>3500</v>
      </c>
      <c r="E10" s="188">
        <f t="shared" si="0"/>
        <v>21</v>
      </c>
    </row>
    <row r="11" spans="1:5" ht="27" customHeight="1">
      <c r="A11" s="185" t="s">
        <v>206</v>
      </c>
      <c r="B11" s="186" t="s">
        <v>141</v>
      </c>
      <c r="C11" s="187">
        <v>4</v>
      </c>
      <c r="D11" s="186">
        <v>1500</v>
      </c>
      <c r="E11" s="188">
        <f t="shared" si="0"/>
        <v>6</v>
      </c>
    </row>
    <row r="12" spans="1:5" ht="27" customHeight="1">
      <c r="A12" s="185" t="s">
        <v>207</v>
      </c>
      <c r="B12" s="186" t="s">
        <v>141</v>
      </c>
      <c r="C12" s="187">
        <v>1</v>
      </c>
      <c r="D12" s="186">
        <v>36000</v>
      </c>
      <c r="E12" s="188">
        <f t="shared" si="0"/>
        <v>36</v>
      </c>
    </row>
    <row r="13" spans="1:5" ht="27" customHeight="1">
      <c r="A13" s="185" t="s">
        <v>208</v>
      </c>
      <c r="B13" s="186" t="s">
        <v>141</v>
      </c>
      <c r="C13" s="187">
        <v>6</v>
      </c>
      <c r="D13" s="186">
        <v>4000</v>
      </c>
      <c r="E13" s="188">
        <f t="shared" si="0"/>
        <v>24</v>
      </c>
    </row>
    <row r="14" spans="1:5" ht="14.25">
      <c r="A14" s="207" t="s">
        <v>227</v>
      </c>
      <c r="B14" s="208" t="s">
        <v>22</v>
      </c>
      <c r="C14" s="187">
        <v>1</v>
      </c>
      <c r="D14" s="186">
        <v>750000</v>
      </c>
      <c r="E14" s="188">
        <f t="shared" si="0"/>
        <v>750</v>
      </c>
    </row>
    <row r="15" spans="1:5" ht="21" customHeight="1">
      <c r="A15" s="467" t="s">
        <v>111</v>
      </c>
      <c r="B15" s="468"/>
      <c r="C15" s="468"/>
      <c r="D15" s="469"/>
      <c r="E15" s="209">
        <f>SUM(E9:E14)</f>
        <v>865</v>
      </c>
    </row>
    <row r="16" spans="1:5" ht="79.5" customHeight="1">
      <c r="A16" s="356" t="s">
        <v>106</v>
      </c>
      <c r="C16" s="484" t="s">
        <v>273</v>
      </c>
      <c r="D16" s="484"/>
      <c r="E16" s="484"/>
    </row>
    <row r="17" spans="1:5" ht="13.5">
      <c r="A17" s="1"/>
      <c r="B17" s="1"/>
    </row>
    <row r="18" spans="1:5" ht="17.25">
      <c r="A18" s="356"/>
      <c r="B18" s="356"/>
      <c r="C18" s="356"/>
    </row>
    <row r="19" spans="1:5" ht="34.5">
      <c r="A19" s="293" t="s">
        <v>354</v>
      </c>
      <c r="B19" s="483" t="s">
        <v>361</v>
      </c>
      <c r="C19" s="483"/>
      <c r="D19" s="483"/>
      <c r="E19" s="483"/>
    </row>
  </sheetData>
  <mergeCells count="7">
    <mergeCell ref="B19:E19"/>
    <mergeCell ref="C16:E16"/>
    <mergeCell ref="A1:E1"/>
    <mergeCell ref="A3:E3"/>
    <mergeCell ref="A6:C6"/>
    <mergeCell ref="A8:E8"/>
    <mergeCell ref="A15:D15"/>
  </mergeCells>
  <conditionalFormatting sqref="A1">
    <cfRule type="cellIs" dxfId="0" priority="1" stopIfTrue="1" operator="equal">
      <formula>0</formula>
    </cfRule>
  </conditionalFormatting>
  <pageMargins left="0.7" right="0.7" top="0.42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23"/>
  <sheetViews>
    <sheetView workbookViewId="0">
      <selection activeCell="B4" sqref="B4"/>
    </sheetView>
  </sheetViews>
  <sheetFormatPr defaultColWidth="9.140625" defaultRowHeight="12.75"/>
  <cols>
    <col min="1" max="1" width="5.5703125" style="189" customWidth="1"/>
    <col min="2" max="2" width="55.28515625" style="189" customWidth="1"/>
    <col min="3" max="3" width="9.140625" style="189" customWidth="1"/>
    <col min="4" max="4" width="10.85546875" style="189" customWidth="1"/>
    <col min="5" max="5" width="14.5703125" style="189" customWidth="1"/>
    <col min="6" max="6" width="13.5703125" style="189" customWidth="1"/>
    <col min="7" max="7" width="14.7109375" style="189" customWidth="1"/>
    <col min="8" max="16384" width="9.140625" style="189"/>
  </cols>
  <sheetData>
    <row r="1" spans="1:7" ht="17.25">
      <c r="B1" s="190" t="s">
        <v>164</v>
      </c>
      <c r="C1" s="191"/>
      <c r="D1" s="191"/>
      <c r="E1" s="191"/>
      <c r="F1" s="191"/>
    </row>
    <row r="2" spans="1:7" ht="17.25">
      <c r="B2" s="192" t="s">
        <v>209</v>
      </c>
      <c r="C2" s="191"/>
      <c r="D2" s="191"/>
      <c r="E2" s="191"/>
      <c r="F2" s="191"/>
    </row>
    <row r="3" spans="1:7" ht="46.5" customHeight="1">
      <c r="A3" s="193"/>
      <c r="B3" s="191" t="s">
        <v>400</v>
      </c>
      <c r="C3" s="191"/>
      <c r="D3" s="191"/>
      <c r="E3" s="191"/>
      <c r="F3" s="191"/>
      <c r="G3" s="193"/>
    </row>
    <row r="4" spans="1:7" ht="19.5" customHeight="1">
      <c r="B4" s="194"/>
      <c r="F4" s="195" t="s">
        <v>210</v>
      </c>
    </row>
    <row r="5" spans="1:7" ht="19.5" customHeight="1">
      <c r="A5" s="493" t="s">
        <v>211</v>
      </c>
      <c r="B5" s="493"/>
      <c r="C5" s="493"/>
      <c r="D5" s="493"/>
      <c r="E5" s="491" t="s">
        <v>212</v>
      </c>
      <c r="F5" s="491" t="s">
        <v>213</v>
      </c>
      <c r="G5" s="491" t="s">
        <v>214</v>
      </c>
    </row>
    <row r="6" spans="1:7" ht="68.25" customHeight="1">
      <c r="A6" s="197" t="s">
        <v>194</v>
      </c>
      <c r="B6" s="198"/>
      <c r="C6" s="196" t="s">
        <v>80</v>
      </c>
      <c r="D6" s="199" t="s">
        <v>215</v>
      </c>
      <c r="E6" s="491"/>
      <c r="F6" s="491"/>
      <c r="G6" s="491"/>
    </row>
    <row r="7" spans="1:7" s="204" customFormat="1" ht="22.5" customHeight="1">
      <c r="A7" s="200">
        <v>1</v>
      </c>
      <c r="B7" s="201" t="s">
        <v>216</v>
      </c>
      <c r="C7" s="202" t="s">
        <v>22</v>
      </c>
      <c r="D7" s="203"/>
      <c r="E7" s="202">
        <v>8</v>
      </c>
      <c r="F7" s="202">
        <v>1.4</v>
      </c>
      <c r="G7" s="202">
        <f>F7+E7</f>
        <v>9.4</v>
      </c>
    </row>
    <row r="10" spans="1:7" ht="17.25">
      <c r="B10" s="190"/>
      <c r="C10" s="191"/>
      <c r="D10" s="191"/>
      <c r="E10" s="191"/>
      <c r="F10" s="191"/>
    </row>
    <row r="11" spans="1:7" ht="17.25">
      <c r="B11" s="192" t="s">
        <v>209</v>
      </c>
      <c r="C11" s="191"/>
      <c r="D11" s="191"/>
      <c r="E11" s="191"/>
      <c r="F11" s="191"/>
    </row>
    <row r="12" spans="1:7" ht="15">
      <c r="B12" s="492" t="s">
        <v>217</v>
      </c>
      <c r="C12" s="492"/>
      <c r="D12" s="492"/>
      <c r="E12" s="492"/>
      <c r="F12" s="492"/>
    </row>
    <row r="14" spans="1:7" ht="51">
      <c r="A14" s="197" t="s">
        <v>194</v>
      </c>
      <c r="B14" s="198"/>
      <c r="C14" s="196" t="s">
        <v>80</v>
      </c>
      <c r="D14" s="196" t="s">
        <v>218</v>
      </c>
      <c r="E14" s="196" t="s">
        <v>219</v>
      </c>
      <c r="F14" s="196" t="s">
        <v>220</v>
      </c>
      <c r="G14" s="196" t="s">
        <v>221</v>
      </c>
    </row>
    <row r="15" spans="1:7" s="205" customFormat="1">
      <c r="A15" s="200">
        <v>1</v>
      </c>
      <c r="B15" s="201" t="s">
        <v>216</v>
      </c>
      <c r="C15" s="196" t="s">
        <v>222</v>
      </c>
      <c r="D15" s="203">
        <v>2500</v>
      </c>
      <c r="E15" s="202">
        <v>8.4</v>
      </c>
      <c r="F15" s="202">
        <v>12</v>
      </c>
      <c r="G15" s="202">
        <f>D15*E15*F15/1000</f>
        <v>252</v>
      </c>
    </row>
    <row r="19" spans="2:6" ht="17.25">
      <c r="B19" s="356" t="s">
        <v>106</v>
      </c>
      <c r="C19" s="483" t="s">
        <v>273</v>
      </c>
      <c r="D19" s="483"/>
      <c r="E19"/>
      <c r="F19"/>
    </row>
    <row r="20" spans="2:6" ht="13.5">
      <c r="B20" s="1"/>
      <c r="C20" s="1"/>
      <c r="D20"/>
      <c r="E20"/>
      <c r="F20"/>
    </row>
    <row r="21" spans="2:6" ht="17.25">
      <c r="B21" s="356"/>
      <c r="C21" s="356"/>
      <c r="D21" s="356"/>
      <c r="E21"/>
      <c r="F21"/>
    </row>
    <row r="22" spans="2:6" ht="34.5">
      <c r="B22" s="293" t="s">
        <v>354</v>
      </c>
      <c r="C22" s="483" t="str">
        <f>+jur!H21</f>
        <v>Ն.Հարությունյան</v>
      </c>
      <c r="D22" s="483"/>
      <c r="E22"/>
      <c r="F22"/>
    </row>
    <row r="23" spans="2:6" ht="43.5" customHeight="1">
      <c r="B23" s="1"/>
      <c r="C23" s="1"/>
    </row>
  </sheetData>
  <mergeCells count="7">
    <mergeCell ref="G5:G6"/>
    <mergeCell ref="B12:F12"/>
    <mergeCell ref="C22:D22"/>
    <mergeCell ref="C19:D19"/>
    <mergeCell ref="A5:D5"/>
    <mergeCell ref="E5:E6"/>
    <mergeCell ref="F5:F6"/>
  </mergeCells>
  <pageMargins left="0.70866141732283472" right="0.2" top="0.74803149606299213" bottom="0.28000000000000003" header="0.31496062992125984" footer="0.31496062992125984"/>
  <pageSetup paperSize="9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23"/>
  <sheetViews>
    <sheetView workbookViewId="0">
      <selection activeCell="E10" sqref="E10:E12"/>
    </sheetView>
  </sheetViews>
  <sheetFormatPr defaultRowHeight="12.75"/>
  <cols>
    <col min="1" max="1" width="68.5703125" customWidth="1"/>
  </cols>
  <sheetData>
    <row r="1" spans="1:11" ht="17.25">
      <c r="A1" s="494" t="s">
        <v>164</v>
      </c>
      <c r="B1" s="494"/>
      <c r="C1" s="494"/>
      <c r="D1" s="494"/>
      <c r="E1" s="494"/>
      <c r="F1" s="494"/>
      <c r="G1" s="494"/>
      <c r="H1" s="494"/>
      <c r="I1" s="494"/>
      <c r="J1" s="494"/>
      <c r="K1" s="494"/>
    </row>
    <row r="2" spans="1:11" ht="17.25">
      <c r="A2" s="495" t="s">
        <v>391</v>
      </c>
      <c r="B2" s="495"/>
      <c r="C2" s="495"/>
      <c r="D2" s="495"/>
      <c r="E2" s="495"/>
      <c r="F2" s="495"/>
      <c r="G2" s="495"/>
      <c r="H2" s="495"/>
      <c r="I2" s="495"/>
      <c r="J2" s="495"/>
      <c r="K2" s="495"/>
    </row>
    <row r="3" spans="1:11" ht="17.25">
      <c r="A3" s="307"/>
      <c r="B3" s="307"/>
      <c r="C3" s="307"/>
      <c r="D3" s="307"/>
      <c r="E3" s="307"/>
      <c r="F3" s="307"/>
      <c r="G3" s="307"/>
      <c r="H3" s="307"/>
      <c r="I3" s="308"/>
      <c r="J3" s="308"/>
      <c r="K3" s="308"/>
    </row>
    <row r="4" spans="1:11" ht="14.25">
      <c r="A4" s="309"/>
      <c r="B4" s="309"/>
      <c r="C4" s="310" t="s">
        <v>257</v>
      </c>
      <c r="D4" s="311"/>
      <c r="E4" s="311"/>
      <c r="F4" s="312"/>
      <c r="G4" s="312"/>
      <c r="H4" s="312"/>
      <c r="I4" s="308"/>
      <c r="J4" s="308"/>
      <c r="K4" s="313"/>
    </row>
    <row r="5" spans="1:11" ht="81">
      <c r="A5" s="314"/>
      <c r="B5" s="315" t="s">
        <v>258</v>
      </c>
      <c r="C5" s="316" t="s">
        <v>259</v>
      </c>
      <c r="D5" s="317" t="s">
        <v>260</v>
      </c>
      <c r="E5" s="318" t="s">
        <v>261</v>
      </c>
      <c r="F5" s="319" t="s">
        <v>262</v>
      </c>
      <c r="G5" s="319" t="s">
        <v>263</v>
      </c>
      <c r="H5" s="319" t="s">
        <v>264</v>
      </c>
      <c r="I5" s="320" t="s">
        <v>265</v>
      </c>
      <c r="J5" s="321" t="s">
        <v>266</v>
      </c>
      <c r="K5" s="322" t="s">
        <v>267</v>
      </c>
    </row>
    <row r="6" spans="1:11" ht="13.5">
      <c r="A6" s="323">
        <v>1</v>
      </c>
      <c r="B6" s="324">
        <v>2</v>
      </c>
      <c r="C6" s="325">
        <v>3</v>
      </c>
      <c r="D6" s="326">
        <v>4</v>
      </c>
      <c r="E6" s="326">
        <v>5</v>
      </c>
      <c r="F6" s="326">
        <v>6</v>
      </c>
      <c r="G6" s="326">
        <v>7</v>
      </c>
      <c r="H6" s="326">
        <v>8</v>
      </c>
      <c r="I6" s="326">
        <v>9</v>
      </c>
      <c r="J6" s="326">
        <v>10</v>
      </c>
      <c r="K6" s="326">
        <v>11</v>
      </c>
    </row>
    <row r="7" spans="1:11" ht="66.75" customHeight="1">
      <c r="A7" s="327" t="s">
        <v>268</v>
      </c>
      <c r="B7" s="324"/>
      <c r="C7" s="325"/>
      <c r="D7" s="326"/>
      <c r="E7" s="326"/>
      <c r="F7" s="326"/>
      <c r="G7" s="326"/>
      <c r="H7" s="326"/>
      <c r="I7" s="326"/>
      <c r="J7" s="326"/>
      <c r="K7" s="328"/>
    </row>
    <row r="8" spans="1:11" ht="13.5">
      <c r="A8" s="329" t="s">
        <v>401</v>
      </c>
      <c r="B8" s="330"/>
      <c r="C8" s="331"/>
      <c r="D8" s="336">
        <v>916</v>
      </c>
      <c r="E8" s="330">
        <v>915</v>
      </c>
      <c r="F8" s="332"/>
      <c r="G8" s="333"/>
      <c r="H8" s="334"/>
      <c r="I8" s="333"/>
      <c r="J8" s="330">
        <v>915</v>
      </c>
      <c r="K8" s="335">
        <f>+J8</f>
        <v>915</v>
      </c>
    </row>
    <row r="9" spans="1:11" ht="13.5">
      <c r="A9" s="329" t="s">
        <v>402</v>
      </c>
      <c r="B9" s="330"/>
      <c r="C9" s="331"/>
      <c r="D9" s="336">
        <v>681</v>
      </c>
      <c r="E9" s="330">
        <v>681</v>
      </c>
      <c r="F9" s="332"/>
      <c r="G9" s="333"/>
      <c r="H9" s="334"/>
      <c r="I9" s="333"/>
      <c r="J9" s="330">
        <v>681</v>
      </c>
      <c r="K9" s="335">
        <f>+J9</f>
        <v>681</v>
      </c>
    </row>
    <row r="10" spans="1:11" ht="13.5">
      <c r="A10" s="337" t="s">
        <v>379</v>
      </c>
      <c r="B10" s="330"/>
      <c r="C10" s="331"/>
      <c r="D10" s="336">
        <v>705</v>
      </c>
      <c r="E10" s="330">
        <v>705</v>
      </c>
      <c r="F10" s="332"/>
      <c r="G10" s="333"/>
      <c r="H10" s="334"/>
      <c r="I10" s="333"/>
      <c r="J10" s="330">
        <v>705</v>
      </c>
      <c r="K10" s="335">
        <f>+J10</f>
        <v>705</v>
      </c>
    </row>
    <row r="11" spans="1:11" ht="13.5">
      <c r="A11" s="337" t="s">
        <v>384</v>
      </c>
      <c r="B11" s="330"/>
      <c r="C11" s="331"/>
      <c r="D11" s="336">
        <v>705</v>
      </c>
      <c r="E11" s="330">
        <v>705</v>
      </c>
      <c r="F11" s="332"/>
      <c r="G11" s="333"/>
      <c r="H11" s="334"/>
      <c r="I11" s="333"/>
      <c r="J11" s="330">
        <v>705</v>
      </c>
      <c r="K11" s="335">
        <f>+J11</f>
        <v>705</v>
      </c>
    </row>
    <row r="12" spans="1:11" ht="13.5">
      <c r="A12" s="337" t="s">
        <v>403</v>
      </c>
      <c r="B12" s="330"/>
      <c r="C12" s="331"/>
      <c r="D12" s="336">
        <v>705</v>
      </c>
      <c r="E12" s="330">
        <v>705</v>
      </c>
      <c r="F12" s="332"/>
      <c r="G12" s="333"/>
      <c r="H12" s="334"/>
      <c r="I12" s="333"/>
      <c r="J12" s="330">
        <v>705</v>
      </c>
      <c r="K12" s="335">
        <f>+J12</f>
        <v>705</v>
      </c>
    </row>
    <row r="13" spans="1:11" ht="13.5">
      <c r="A13" s="338"/>
      <c r="B13" s="338"/>
      <c r="C13" s="338"/>
      <c r="D13" s="338"/>
      <c r="E13" s="338"/>
      <c r="F13" s="338"/>
      <c r="G13" s="338"/>
      <c r="H13" s="338"/>
      <c r="I13" s="338"/>
      <c r="J13" s="338"/>
      <c r="K13" s="338"/>
    </row>
    <row r="18" spans="1:4" ht="17.25">
      <c r="A18" s="356" t="s">
        <v>106</v>
      </c>
      <c r="C18" s="356" t="s">
        <v>273</v>
      </c>
      <c r="D18" s="376"/>
    </row>
    <row r="19" spans="1:4" ht="15">
      <c r="A19" s="1"/>
      <c r="C19" s="1"/>
      <c r="D19" s="376"/>
    </row>
    <row r="20" spans="1:4" ht="17.25">
      <c r="A20" s="356"/>
      <c r="C20" s="356"/>
      <c r="D20" s="376"/>
    </row>
    <row r="21" spans="1:4" ht="17.25">
      <c r="A21" s="356" t="s">
        <v>354</v>
      </c>
      <c r="C21" s="356" t="s">
        <v>361</v>
      </c>
      <c r="D21" s="376"/>
    </row>
    <row r="22" spans="1:4" ht="14.25">
      <c r="A22" s="375"/>
      <c r="B22" s="376"/>
      <c r="C22" s="376"/>
      <c r="D22" s="376"/>
    </row>
    <row r="23" spans="1:4" ht="14.25">
      <c r="A23" s="376"/>
      <c r="B23" s="376"/>
      <c r="C23" s="376"/>
      <c r="D23" s="376"/>
    </row>
  </sheetData>
  <mergeCells count="2">
    <mergeCell ref="A1:K1"/>
    <mergeCell ref="A2:K2"/>
  </mergeCells>
  <pageMargins left="0.2" right="0.70866141732283472" top="0.74803149606299213" bottom="0.74803149606299213" header="0.31496062992125984" footer="0.31496062992125984"/>
  <pageSetup paperSize="9" scale="85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17"/>
  <sheetViews>
    <sheetView zoomScale="115" zoomScaleNormal="115" workbookViewId="0">
      <selection activeCell="F17" sqref="F17"/>
    </sheetView>
  </sheetViews>
  <sheetFormatPr defaultRowHeight="12.75"/>
  <cols>
    <col min="1" max="1" width="4.140625" customWidth="1"/>
    <col min="2" max="2" width="35.85546875" customWidth="1"/>
    <col min="3" max="3" width="10.7109375" customWidth="1"/>
    <col min="4" max="4" width="11.5703125" customWidth="1"/>
    <col min="5" max="5" width="10.140625" customWidth="1"/>
    <col min="6" max="6" width="100" customWidth="1"/>
  </cols>
  <sheetData>
    <row r="1" spans="1:6" ht="22.5" customHeight="1">
      <c r="A1" s="496" t="s">
        <v>404</v>
      </c>
      <c r="B1" s="496"/>
      <c r="C1" s="496"/>
      <c r="D1" s="496"/>
      <c r="E1" s="496"/>
      <c r="F1" s="496"/>
    </row>
    <row r="3" spans="1:6" ht="16.5">
      <c r="A3" s="499"/>
      <c r="B3" s="500" t="s">
        <v>313</v>
      </c>
      <c r="C3" s="500"/>
      <c r="D3" s="500"/>
      <c r="E3" s="383"/>
      <c r="F3" s="41"/>
    </row>
    <row r="4" spans="1:6" ht="39" customHeight="1">
      <c r="A4" s="499"/>
      <c r="B4" s="501" t="s">
        <v>120</v>
      </c>
      <c r="C4" s="501" t="s">
        <v>317</v>
      </c>
      <c r="D4" s="502" t="s">
        <v>321</v>
      </c>
      <c r="E4" s="504" t="s">
        <v>111</v>
      </c>
      <c r="F4" s="497" t="s">
        <v>320</v>
      </c>
    </row>
    <row r="5" spans="1:6" ht="39.75" customHeight="1">
      <c r="A5" s="499"/>
      <c r="B5" s="501"/>
      <c r="C5" s="501"/>
      <c r="D5" s="503"/>
      <c r="E5" s="504"/>
      <c r="F5" s="498"/>
    </row>
    <row r="6" spans="1:6" ht="118.5" customHeight="1">
      <c r="A6" s="19">
        <v>1</v>
      </c>
      <c r="B6" s="419" t="s">
        <v>381</v>
      </c>
      <c r="C6" s="32">
        <v>120</v>
      </c>
      <c r="D6" s="32">
        <v>1500</v>
      </c>
      <c r="E6" s="383">
        <f t="shared" ref="E6:E12" si="0">+C6*D6</f>
        <v>180000</v>
      </c>
      <c r="F6" s="385" t="s">
        <v>383</v>
      </c>
    </row>
    <row r="7" spans="1:6" ht="45.75" customHeight="1">
      <c r="A7" s="19">
        <v>2</v>
      </c>
      <c r="B7" s="419" t="s">
        <v>382</v>
      </c>
      <c r="C7" s="32">
        <v>100</v>
      </c>
      <c r="D7" s="32">
        <v>4500</v>
      </c>
      <c r="E7" s="383">
        <f t="shared" si="0"/>
        <v>450000</v>
      </c>
      <c r="F7" s="385"/>
    </row>
    <row r="8" spans="1:6" ht="28.5" customHeight="1">
      <c r="A8" s="19">
        <v>3</v>
      </c>
      <c r="B8" s="420" t="s">
        <v>314</v>
      </c>
      <c r="C8" s="32">
        <v>200</v>
      </c>
      <c r="D8" s="32">
        <v>400</v>
      </c>
      <c r="E8" s="383">
        <f t="shared" si="0"/>
        <v>80000</v>
      </c>
      <c r="F8" s="385"/>
    </row>
    <row r="9" spans="1:6" ht="20.25" customHeight="1">
      <c r="A9" s="19">
        <v>4</v>
      </c>
      <c r="B9" s="420" t="s">
        <v>315</v>
      </c>
      <c r="C9" s="32">
        <v>400</v>
      </c>
      <c r="D9" s="32">
        <v>300</v>
      </c>
      <c r="E9" s="383">
        <f t="shared" si="0"/>
        <v>120000</v>
      </c>
      <c r="F9" s="41"/>
    </row>
    <row r="10" spans="1:6" ht="20.25" customHeight="1">
      <c r="A10" s="19">
        <v>5</v>
      </c>
      <c r="B10" s="421" t="s">
        <v>316</v>
      </c>
      <c r="C10" s="32">
        <v>60</v>
      </c>
      <c r="D10" s="382">
        <v>2000</v>
      </c>
      <c r="E10" s="383">
        <f t="shared" si="0"/>
        <v>120000</v>
      </c>
      <c r="F10" s="41"/>
    </row>
    <row r="11" spans="1:6" ht="20.25" customHeight="1">
      <c r="A11" s="19">
        <v>6</v>
      </c>
      <c r="B11" s="421" t="s">
        <v>318</v>
      </c>
      <c r="C11" s="32">
        <v>100</v>
      </c>
      <c r="D11" s="32">
        <v>250</v>
      </c>
      <c r="E11" s="384">
        <f t="shared" si="0"/>
        <v>25000</v>
      </c>
      <c r="F11" s="41"/>
    </row>
    <row r="12" spans="1:6" ht="20.25" customHeight="1">
      <c r="A12" s="19">
        <v>7</v>
      </c>
      <c r="B12" s="421" t="s">
        <v>319</v>
      </c>
      <c r="C12" s="32">
        <v>100</v>
      </c>
      <c r="D12" s="32">
        <v>250</v>
      </c>
      <c r="E12" s="384">
        <f t="shared" si="0"/>
        <v>25000</v>
      </c>
      <c r="F12" s="41"/>
    </row>
    <row r="13" spans="1:6" ht="13.5">
      <c r="A13" s="19"/>
      <c r="B13" s="386"/>
      <c r="C13" s="386"/>
      <c r="D13" s="386"/>
      <c r="E13" s="387">
        <f>SUM(E6:E12)</f>
        <v>1000000</v>
      </c>
      <c r="F13" s="41"/>
    </row>
    <row r="15" spans="1:6" ht="16.5">
      <c r="B15" s="376"/>
      <c r="C15" s="104" t="s">
        <v>106</v>
      </c>
      <c r="D15" s="376"/>
      <c r="F15" s="104" t="s">
        <v>273</v>
      </c>
    </row>
    <row r="16" spans="1:6" ht="16.5">
      <c r="B16" s="376"/>
      <c r="C16" s="104"/>
      <c r="D16" s="104"/>
      <c r="E16" s="376"/>
      <c r="F16" s="376"/>
    </row>
    <row r="17" spans="2:6" ht="37.5" customHeight="1">
      <c r="B17" s="480" t="s">
        <v>354</v>
      </c>
      <c r="C17" s="480"/>
      <c r="D17" s="376"/>
      <c r="F17" s="104" t="s">
        <v>361</v>
      </c>
    </row>
  </sheetData>
  <mergeCells count="9">
    <mergeCell ref="B17:C17"/>
    <mergeCell ref="A1:F1"/>
    <mergeCell ref="F4:F5"/>
    <mergeCell ref="A3:A5"/>
    <mergeCell ref="B3:D3"/>
    <mergeCell ref="B4:B5"/>
    <mergeCell ref="C4:C5"/>
    <mergeCell ref="D4:D5"/>
    <mergeCell ref="E4:E5"/>
  </mergeCells>
  <pageMargins left="0.23622047244094491" right="0.19685039370078741" top="0.2" bottom="0.2" header="0.2" footer="0.2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64"/>
  <sheetViews>
    <sheetView topLeftCell="A9" zoomScaleNormal="100" workbookViewId="0">
      <selection activeCell="F13" sqref="F13"/>
    </sheetView>
  </sheetViews>
  <sheetFormatPr defaultColWidth="9.140625" defaultRowHeight="13.5"/>
  <cols>
    <col min="1" max="1" width="29.28515625" style="39" customWidth="1"/>
    <col min="2" max="2" width="8.7109375" style="39" customWidth="1"/>
    <col min="3" max="3" width="10.5703125" style="39" customWidth="1"/>
    <col min="4" max="4" width="10.140625" style="39" customWidth="1"/>
    <col min="5" max="5" width="10.85546875" style="39" customWidth="1"/>
    <col min="6" max="6" width="9.7109375" style="39" customWidth="1"/>
    <col min="7" max="7" width="10.42578125" style="359" customWidth="1"/>
    <col min="8" max="8" width="10.42578125" style="39" customWidth="1"/>
    <col min="9" max="9" width="10.140625" style="39" customWidth="1"/>
    <col min="10" max="10" width="9.5703125" style="39" customWidth="1"/>
    <col min="11" max="11" width="20.28515625" style="39" customWidth="1"/>
    <col min="12" max="12" width="9.140625" style="39" customWidth="1"/>
    <col min="13" max="13" width="9.140625" style="39"/>
    <col min="14" max="14" width="9.5703125" style="39" bestFit="1" customWidth="1"/>
    <col min="15" max="16384" width="9.140625" style="39"/>
  </cols>
  <sheetData>
    <row r="1" spans="1:15">
      <c r="G1" s="359" t="s">
        <v>0</v>
      </c>
    </row>
    <row r="2" spans="1:15" ht="15" thickBot="1">
      <c r="D2" s="299" t="s">
        <v>69</v>
      </c>
      <c r="E2" s="360"/>
    </row>
    <row r="3" spans="1:15" ht="14.25">
      <c r="A3" s="298" t="s">
        <v>70</v>
      </c>
      <c r="B3" s="298"/>
      <c r="C3" s="298"/>
      <c r="D3" s="298"/>
      <c r="E3" s="298"/>
      <c r="F3" s="298"/>
      <c r="G3" s="361"/>
    </row>
    <row r="4" spans="1:15" ht="14.25">
      <c r="A4" s="298"/>
      <c r="B4" s="298"/>
      <c r="C4" s="298"/>
      <c r="D4" s="298"/>
      <c r="E4" s="298"/>
      <c r="F4" s="298"/>
      <c r="G4" s="361"/>
    </row>
    <row r="5" spans="1:15" ht="15" thickBot="1">
      <c r="A5" s="299" t="s">
        <v>112</v>
      </c>
      <c r="B5" s="299"/>
      <c r="C5" s="299"/>
      <c r="D5" s="299"/>
      <c r="E5" s="299"/>
      <c r="F5" s="299"/>
      <c r="G5" s="363"/>
    </row>
    <row r="6" spans="1:15" ht="15" thickBot="1">
      <c r="A6" s="364" t="s">
        <v>113</v>
      </c>
      <c r="B6" s="300"/>
      <c r="C6" s="300"/>
      <c r="D6" s="300"/>
      <c r="E6" s="300"/>
      <c r="F6" s="300"/>
      <c r="G6" s="365"/>
    </row>
    <row r="7" spans="1:15" ht="14.25">
      <c r="A7" s="298"/>
      <c r="C7" s="301"/>
      <c r="D7" s="301"/>
      <c r="E7" s="301"/>
      <c r="F7" s="301"/>
      <c r="G7" s="366"/>
      <c r="H7" s="367"/>
    </row>
    <row r="8" spans="1:15" s="368" customFormat="1" ht="108" customHeight="1">
      <c r="A8" s="40"/>
      <c r="B8" s="40"/>
      <c r="C8" s="40"/>
      <c r="D8" s="40" t="s">
        <v>393</v>
      </c>
      <c r="E8" s="438" t="s">
        <v>5</v>
      </c>
      <c r="F8" s="439"/>
      <c r="G8" s="40" t="s">
        <v>377</v>
      </c>
      <c r="H8" s="40" t="s">
        <v>377</v>
      </c>
      <c r="I8" s="40" t="s">
        <v>390</v>
      </c>
      <c r="J8" s="339" t="s">
        <v>394</v>
      </c>
      <c r="K8" s="389" t="s">
        <v>365</v>
      </c>
    </row>
    <row r="9" spans="1:15" s="368" customFormat="1" ht="57" customHeight="1">
      <c r="A9" s="40" t="s">
        <v>6</v>
      </c>
      <c r="B9" s="40" t="s">
        <v>7</v>
      </c>
      <c r="C9" s="40" t="s">
        <v>406</v>
      </c>
      <c r="D9" s="40" t="s">
        <v>8</v>
      </c>
      <c r="E9" s="440" t="s">
        <v>360</v>
      </c>
      <c r="F9" s="440" t="s">
        <v>364</v>
      </c>
      <c r="G9" s="40" t="s">
        <v>9</v>
      </c>
      <c r="H9" s="40" t="s">
        <v>10</v>
      </c>
      <c r="I9" s="40" t="s">
        <v>10</v>
      </c>
      <c r="J9" s="40" t="s">
        <v>10</v>
      </c>
      <c r="K9" s="390" t="s">
        <v>366</v>
      </c>
      <c r="N9" s="369"/>
      <c r="O9" s="369"/>
    </row>
    <row r="10" spans="1:15" s="368" customFormat="1">
      <c r="A10" s="40" t="s">
        <v>11</v>
      </c>
      <c r="B10" s="40" t="s">
        <v>12</v>
      </c>
      <c r="C10" s="40" t="s">
        <v>13</v>
      </c>
      <c r="D10" s="40" t="s">
        <v>14</v>
      </c>
      <c r="E10" s="40" t="s">
        <v>15</v>
      </c>
      <c r="F10" s="40" t="s">
        <v>16</v>
      </c>
      <c r="G10" s="40" t="s">
        <v>17</v>
      </c>
      <c r="H10" s="40" t="s">
        <v>18</v>
      </c>
      <c r="I10" s="40" t="s">
        <v>101</v>
      </c>
      <c r="J10" s="40" t="s">
        <v>102</v>
      </c>
      <c r="K10" s="390" t="s">
        <v>103</v>
      </c>
      <c r="N10" s="369"/>
      <c r="O10" s="369"/>
    </row>
    <row r="11" spans="1:15" s="368" customFormat="1" ht="30.75" customHeight="1">
      <c r="A11" s="357" t="s">
        <v>71</v>
      </c>
      <c r="B11" s="358" t="s">
        <v>23</v>
      </c>
      <c r="C11" s="302">
        <f>C12+C46+C50</f>
        <v>309343.7</v>
      </c>
      <c r="D11" s="302">
        <f t="shared" ref="D11:J11" si="0">D12+D46+D50</f>
        <v>281982.30000000005</v>
      </c>
      <c r="E11" s="302">
        <f t="shared" ref="E11:E12" si="1">+D11-C11</f>
        <v>-27361.399999999965</v>
      </c>
      <c r="F11" s="302">
        <f t="shared" ref="F11:F12" si="2">+G11-D11</f>
        <v>54264.268690672528</v>
      </c>
      <c r="G11" s="302">
        <f t="shared" si="0"/>
        <v>336246.56869067258</v>
      </c>
      <c r="H11" s="302">
        <f t="shared" si="0"/>
        <v>336246.56869067258</v>
      </c>
      <c r="I11" s="302">
        <f t="shared" si="0"/>
        <v>336246.56869067258</v>
      </c>
      <c r="J11" s="302">
        <f t="shared" si="0"/>
        <v>336246.56869067258</v>
      </c>
      <c r="K11" s="40"/>
      <c r="N11" s="369"/>
      <c r="O11" s="369"/>
    </row>
    <row r="12" spans="1:15" s="368" customFormat="1" ht="18" customHeight="1">
      <c r="A12" s="357" t="s">
        <v>72</v>
      </c>
      <c r="B12" s="38" t="s">
        <v>39</v>
      </c>
      <c r="C12" s="216">
        <f>C13+C14+C15+C16</f>
        <v>270592.2</v>
      </c>
      <c r="D12" s="216">
        <f>D13+D14+D15+D16</f>
        <v>250644.10000000003</v>
      </c>
      <c r="E12" s="40">
        <f t="shared" si="1"/>
        <v>-19948.099999999977</v>
      </c>
      <c r="F12" s="40">
        <f t="shared" si="2"/>
        <v>47018.444776439981</v>
      </c>
      <c r="G12" s="216">
        <f>G13+G14+G15+G16</f>
        <v>297662.54477644002</v>
      </c>
      <c r="H12" s="216">
        <f>H13+H14+H15+H16</f>
        <v>297662.54477644002</v>
      </c>
      <c r="I12" s="216">
        <f t="shared" ref="I12:J12" si="3">I13+I14+I15+I16</f>
        <v>297662.54477644002</v>
      </c>
      <c r="J12" s="216">
        <f t="shared" si="3"/>
        <v>297662.54477644002</v>
      </c>
      <c r="K12" s="40"/>
    </row>
    <row r="13" spans="1:15" s="368" customFormat="1" ht="151.5" customHeight="1">
      <c r="A13" s="370" t="s">
        <v>95</v>
      </c>
      <c r="B13" s="38" t="s">
        <v>39</v>
      </c>
      <c r="C13" s="216">
        <f>+'0409canc'!C32</f>
        <v>165204.1</v>
      </c>
      <c r="D13" s="216">
        <f>+'0409canc'!D32</f>
        <v>157741.40000000002</v>
      </c>
      <c r="E13" s="40">
        <f t="shared" ref="E13" si="4">+D13-C13</f>
        <v>-7462.6999999999825</v>
      </c>
      <c r="F13" s="40">
        <f t="shared" ref="F13" si="5">+G13-D13</f>
        <v>18480.570000000007</v>
      </c>
      <c r="G13" s="216">
        <f>+'0409canc'!G32</f>
        <v>176221.97000000003</v>
      </c>
      <c r="H13" s="216">
        <f>+G13</f>
        <v>176221.97000000003</v>
      </c>
      <c r="I13" s="216">
        <f>+H13</f>
        <v>176221.97000000003</v>
      </c>
      <c r="J13" s="216">
        <f>+I13</f>
        <v>176221.97000000003</v>
      </c>
      <c r="K13" s="371" t="s">
        <v>372</v>
      </c>
      <c r="M13" s="369"/>
      <c r="N13" s="369"/>
      <c r="O13" s="369"/>
    </row>
    <row r="14" spans="1:15" ht="54" customHeight="1">
      <c r="A14" s="357" t="s">
        <v>82</v>
      </c>
      <c r="B14" s="358" t="s">
        <v>23</v>
      </c>
      <c r="C14" s="303">
        <f>+krtatoshak!C27</f>
        <v>61102.1</v>
      </c>
      <c r="D14" s="40">
        <v>44444.6</v>
      </c>
      <c r="E14" s="40">
        <f t="shared" ref="E14:E55" si="6">+D14-C14</f>
        <v>-16657.5</v>
      </c>
      <c r="F14" s="40">
        <f t="shared" ref="F14:F55" si="7">+G14-D14</f>
        <v>22224.400000000001</v>
      </c>
      <c r="G14" s="303">
        <f>+H14</f>
        <v>66669</v>
      </c>
      <c r="H14" s="303">
        <f>+krtatoshak!G27</f>
        <v>66669</v>
      </c>
      <c r="I14" s="303">
        <f>+H14</f>
        <v>66669</v>
      </c>
      <c r="J14" s="303">
        <f>+I14</f>
        <v>66669</v>
      </c>
      <c r="K14" s="214"/>
      <c r="O14" s="362"/>
    </row>
    <row r="15" spans="1:15" ht="30" customHeight="1">
      <c r="A15" s="372" t="s">
        <v>100</v>
      </c>
      <c r="B15" s="358" t="s">
        <v>23</v>
      </c>
      <c r="C15" s="303"/>
      <c r="D15" s="303"/>
      <c r="E15" s="40">
        <f t="shared" si="6"/>
        <v>0</v>
      </c>
      <c r="F15" s="40">
        <f t="shared" si="7"/>
        <v>0</v>
      </c>
      <c r="G15" s="303"/>
      <c r="H15" s="303"/>
      <c r="I15" s="303"/>
      <c r="J15" s="303"/>
      <c r="K15" s="214"/>
    </row>
    <row r="16" spans="1:15" ht="48" customHeight="1">
      <c r="A16" s="372" t="s">
        <v>85</v>
      </c>
      <c r="B16" s="358" t="s">
        <v>23</v>
      </c>
      <c r="C16" s="303">
        <f>C17+C21+C22+C24+C26+C27++SUM(C33:C37)+C38+C39+C40+C41+C42+C43+C45</f>
        <v>44286</v>
      </c>
      <c r="D16" s="303">
        <f>D17+D21+D22+D24+D26+D27++SUM(D33:D37)+D38+D39+D40+D41+D42+D43+D45</f>
        <v>48458.100000000006</v>
      </c>
      <c r="E16" s="40">
        <f t="shared" si="6"/>
        <v>4172.1000000000058</v>
      </c>
      <c r="F16" s="40">
        <f t="shared" si="7"/>
        <v>6313.4747764399945</v>
      </c>
      <c r="G16" s="303">
        <f>G17+G21+G22+G24+G26+G27++SUM(G33:G37)+G38+G39+G40+G41+G42+G43</f>
        <v>54771.57477644</v>
      </c>
      <c r="H16" s="303">
        <f>H17+H21+H22+H24+H26+H27++SUM(H33:H37)+H38+H39+H40+H41+H42+H43</f>
        <v>54771.57477644</v>
      </c>
      <c r="I16" s="303">
        <f t="shared" ref="I16:J16" si="8">I17+I21+I22+I24+I26+I27++SUM(I33:I37)+I38+I39+I40+I41+I42+I43</f>
        <v>54771.57477644</v>
      </c>
      <c r="J16" s="303">
        <f t="shared" si="8"/>
        <v>54771.57477644</v>
      </c>
      <c r="K16" s="214"/>
    </row>
    <row r="17" spans="1:11" ht="28.5">
      <c r="A17" s="358" t="s">
        <v>83</v>
      </c>
      <c r="B17" s="358" t="s">
        <v>23</v>
      </c>
      <c r="C17" s="216">
        <f>C18+C19</f>
        <v>318</v>
      </c>
      <c r="D17" s="216">
        <f>D18+D19</f>
        <v>350</v>
      </c>
      <c r="E17" s="40">
        <f t="shared" si="6"/>
        <v>32</v>
      </c>
      <c r="F17" s="40">
        <f t="shared" si="7"/>
        <v>123.5</v>
      </c>
      <c r="G17" s="303">
        <f t="shared" ref="G17:G18" si="9">+H17</f>
        <v>473.5</v>
      </c>
      <c r="H17" s="216">
        <f>+grasenyakayin!E58/1000</f>
        <v>473.5</v>
      </c>
      <c r="I17" s="216">
        <f>+H17</f>
        <v>473.5</v>
      </c>
      <c r="J17" s="216">
        <f>+I17</f>
        <v>473.5</v>
      </c>
      <c r="K17" s="214"/>
    </row>
    <row r="18" spans="1:11" ht="28.5">
      <c r="A18" s="357" t="s">
        <v>97</v>
      </c>
      <c r="B18" s="358" t="s">
        <v>23</v>
      </c>
      <c r="C18" s="303">
        <v>318</v>
      </c>
      <c r="D18" s="303">
        <v>350</v>
      </c>
      <c r="E18" s="40">
        <f t="shared" si="6"/>
        <v>32</v>
      </c>
      <c r="F18" s="40">
        <f t="shared" si="7"/>
        <v>123.5</v>
      </c>
      <c r="G18" s="303">
        <f t="shared" si="9"/>
        <v>473.5</v>
      </c>
      <c r="H18" s="303">
        <f>+H17</f>
        <v>473.5</v>
      </c>
      <c r="I18" s="303">
        <f>+H18</f>
        <v>473.5</v>
      </c>
      <c r="J18" s="303">
        <f>+I18</f>
        <v>473.5</v>
      </c>
      <c r="K18" s="214"/>
    </row>
    <row r="19" spans="1:11" ht="28.5">
      <c r="A19" s="357" t="s">
        <v>125</v>
      </c>
      <c r="B19" s="358" t="s">
        <v>23</v>
      </c>
      <c r="C19" s="303"/>
      <c r="D19" s="303"/>
      <c r="E19" s="40">
        <f t="shared" si="6"/>
        <v>0</v>
      </c>
      <c r="F19" s="40">
        <f t="shared" si="7"/>
        <v>0</v>
      </c>
      <c r="G19" s="303"/>
      <c r="H19" s="303"/>
      <c r="I19" s="303"/>
      <c r="J19" s="303"/>
      <c r="K19" s="214"/>
    </row>
    <row r="20" spans="1:11" ht="28.5">
      <c r="A20" s="370" t="s">
        <v>73</v>
      </c>
      <c r="B20" s="357" t="s">
        <v>31</v>
      </c>
      <c r="C20" s="303"/>
      <c r="D20" s="303"/>
      <c r="E20" s="40">
        <f t="shared" si="6"/>
        <v>0</v>
      </c>
      <c r="F20" s="40">
        <f t="shared" si="7"/>
        <v>0</v>
      </c>
      <c r="G20" s="303"/>
      <c r="H20" s="303"/>
      <c r="I20" s="303"/>
      <c r="J20" s="303"/>
      <c r="K20" s="214"/>
    </row>
    <row r="21" spans="1:11" ht="57.75" customHeight="1">
      <c r="A21" s="357" t="s">
        <v>126</v>
      </c>
      <c r="B21" s="358" t="s">
        <v>23</v>
      </c>
      <c r="C21" s="303">
        <v>2568</v>
      </c>
      <c r="D21" s="303">
        <f>1050+980</f>
        <v>2030</v>
      </c>
      <c r="E21" s="40">
        <f t="shared" si="6"/>
        <v>-538</v>
      </c>
      <c r="F21" s="40">
        <f t="shared" si="7"/>
        <v>-2030</v>
      </c>
      <c r="G21" s="303">
        <f>+H21</f>
        <v>0</v>
      </c>
      <c r="H21" s="303">
        <f>+kencaxajin!E40/1000</f>
        <v>0</v>
      </c>
      <c r="I21" s="303">
        <f>+H21</f>
        <v>0</v>
      </c>
      <c r="J21" s="303">
        <f>+I21</f>
        <v>0</v>
      </c>
      <c r="K21" s="214"/>
    </row>
    <row r="22" spans="1:11" ht="61.5" customHeight="1">
      <c r="A22" s="370" t="s">
        <v>74</v>
      </c>
      <c r="B22" s="358" t="s">
        <v>23</v>
      </c>
      <c r="C22" s="303">
        <f>4380+3534.4</f>
        <v>7914.4</v>
      </c>
      <c r="D22" s="303">
        <v>10500</v>
      </c>
      <c r="E22" s="40">
        <f>+D22-C22</f>
        <v>2585.6000000000004</v>
      </c>
      <c r="F22" s="40">
        <f t="shared" si="7"/>
        <v>7757</v>
      </c>
      <c r="G22" s="216">
        <v>18257</v>
      </c>
      <c r="H22" s="216">
        <v>18257</v>
      </c>
      <c r="I22" s="216">
        <v>18257</v>
      </c>
      <c r="J22" s="216">
        <v>18257</v>
      </c>
      <c r="K22" s="214"/>
    </row>
    <row r="23" spans="1:11" ht="28.5">
      <c r="A23" s="357" t="s">
        <v>75</v>
      </c>
      <c r="B23" s="357" t="s">
        <v>76</v>
      </c>
      <c r="C23" s="436">
        <v>1</v>
      </c>
      <c r="D23" s="436">
        <v>1</v>
      </c>
      <c r="E23" s="40">
        <f t="shared" si="6"/>
        <v>0</v>
      </c>
      <c r="F23" s="40">
        <f t="shared" si="7"/>
        <v>0</v>
      </c>
      <c r="G23" s="436">
        <f t="shared" ref="G23:G34" si="10">+H23</f>
        <v>1</v>
      </c>
      <c r="H23" s="436">
        <v>1</v>
      </c>
      <c r="I23" s="436">
        <v>1</v>
      </c>
      <c r="J23" s="436">
        <v>1</v>
      </c>
      <c r="K23" s="214"/>
    </row>
    <row r="24" spans="1:11" ht="28.5" customHeight="1">
      <c r="A24" s="38" t="s">
        <v>225</v>
      </c>
      <c r="B24" s="358" t="s">
        <v>23</v>
      </c>
      <c r="C24" s="216">
        <v>1080</v>
      </c>
      <c r="D24" s="216">
        <v>1370</v>
      </c>
      <c r="E24" s="40">
        <f t="shared" si="6"/>
        <v>290</v>
      </c>
      <c r="F24" s="40">
        <f t="shared" si="7"/>
        <v>250</v>
      </c>
      <c r="G24" s="303">
        <f t="shared" si="10"/>
        <v>1620</v>
      </c>
      <c r="H24" s="216">
        <f>+transp!E7</f>
        <v>1620</v>
      </c>
      <c r="I24" s="216">
        <f t="shared" ref="I24:J26" si="11">+H24</f>
        <v>1620</v>
      </c>
      <c r="J24" s="216">
        <f t="shared" si="11"/>
        <v>1620</v>
      </c>
      <c r="K24" s="214"/>
    </row>
    <row r="25" spans="1:11" ht="30" customHeight="1">
      <c r="A25" s="38" t="s">
        <v>77</v>
      </c>
      <c r="B25" s="357" t="s">
        <v>94</v>
      </c>
      <c r="C25" s="303">
        <v>18</v>
      </c>
      <c r="D25" s="303">
        <v>18</v>
      </c>
      <c r="E25" s="40">
        <f t="shared" si="6"/>
        <v>0</v>
      </c>
      <c r="F25" s="40">
        <f t="shared" si="7"/>
        <v>0</v>
      </c>
      <c r="G25" s="303">
        <f t="shared" si="10"/>
        <v>18</v>
      </c>
      <c r="H25" s="303">
        <v>18</v>
      </c>
      <c r="I25" s="303">
        <f t="shared" si="11"/>
        <v>18</v>
      </c>
      <c r="J25" s="303">
        <f t="shared" si="11"/>
        <v>18</v>
      </c>
      <c r="K25" s="214"/>
    </row>
    <row r="26" spans="1:11" ht="20.25" customHeight="1">
      <c r="A26" s="370" t="s">
        <v>84</v>
      </c>
      <c r="B26" s="358" t="s">
        <v>23</v>
      </c>
      <c r="C26" s="216">
        <f>65+1098.1</f>
        <v>1163.0999999999999</v>
      </c>
      <c r="D26" s="216">
        <v>1328.9</v>
      </c>
      <c r="E26" s="40">
        <f t="shared" si="6"/>
        <v>165.80000000000018</v>
      </c>
      <c r="F26" s="40">
        <f t="shared" si="7"/>
        <v>-223.26022400000033</v>
      </c>
      <c r="G26" s="303">
        <f t="shared" si="10"/>
        <v>1105.6397759999998</v>
      </c>
      <c r="H26" s="216">
        <f>+կապ!P40</f>
        <v>1105.6397759999998</v>
      </c>
      <c r="I26" s="216">
        <f t="shared" si="11"/>
        <v>1105.6397759999998</v>
      </c>
      <c r="J26" s="216">
        <f t="shared" si="11"/>
        <v>1105.6397759999998</v>
      </c>
      <c r="K26" s="214"/>
    </row>
    <row r="27" spans="1:11" ht="45" customHeight="1">
      <c r="A27" s="373" t="s">
        <v>98</v>
      </c>
      <c r="B27" s="358" t="s">
        <v>23</v>
      </c>
      <c r="C27" s="303">
        <f>C28+C30+C31+C32</f>
        <v>7862.6</v>
      </c>
      <c r="D27" s="303">
        <f>D28+D30+D31+D32</f>
        <v>8000</v>
      </c>
      <c r="E27" s="40">
        <f t="shared" si="6"/>
        <v>137.39999999999964</v>
      </c>
      <c r="F27" s="40">
        <f t="shared" si="7"/>
        <v>1596.4350004400003</v>
      </c>
      <c r="G27" s="303">
        <f>+H27</f>
        <v>9596.4350004400003</v>
      </c>
      <c r="H27" s="303">
        <f>H28+H30+H31+H32</f>
        <v>9596.4350004400003</v>
      </c>
      <c r="I27" s="303">
        <f>I28+I30+I31+I32</f>
        <v>9596.4350004400003</v>
      </c>
      <c r="J27" s="303">
        <f>J28+J30+J31+J32</f>
        <v>9596.4350004400003</v>
      </c>
      <c r="K27" s="214"/>
    </row>
    <row r="28" spans="1:11" ht="30.75" customHeight="1">
      <c r="A28" s="357" t="s">
        <v>87</v>
      </c>
      <c r="B28" s="358" t="s">
        <v>23</v>
      </c>
      <c r="C28" s="216">
        <v>3334</v>
      </c>
      <c r="D28" s="216">
        <f>+D29</f>
        <v>3000</v>
      </c>
      <c r="E28" s="40">
        <f t="shared" si="6"/>
        <v>-334</v>
      </c>
      <c r="F28" s="40">
        <f t="shared" si="7"/>
        <v>567.28467984000008</v>
      </c>
      <c r="G28" s="303">
        <f t="shared" si="10"/>
        <v>3567.2846798400001</v>
      </c>
      <c r="H28" s="216">
        <f t="shared" ref="H28:J28" si="12">+H29</f>
        <v>3567.2846798400001</v>
      </c>
      <c r="I28" s="216">
        <f t="shared" si="12"/>
        <v>3567.2846798400001</v>
      </c>
      <c r="J28" s="216">
        <f t="shared" si="12"/>
        <v>3567.2846798400001</v>
      </c>
      <c r="K28" s="214"/>
    </row>
    <row r="29" spans="1:11" ht="34.5" customHeight="1">
      <c r="A29" s="38" t="s">
        <v>78</v>
      </c>
      <c r="B29" s="358" t="s">
        <v>23</v>
      </c>
      <c r="C29" s="303">
        <v>3334</v>
      </c>
      <c r="D29" s="303">
        <v>3000</v>
      </c>
      <c r="E29" s="40">
        <f t="shared" si="6"/>
        <v>-334</v>
      </c>
      <c r="F29" s="40">
        <f t="shared" si="7"/>
        <v>567.28467984000008</v>
      </c>
      <c r="G29" s="303">
        <f t="shared" si="10"/>
        <v>3567.2846798400001</v>
      </c>
      <c r="H29" s="303">
        <f>+'energia jerucum'!M21</f>
        <v>3567.2846798400001</v>
      </c>
      <c r="I29" s="303">
        <f t="shared" ref="I29:J32" si="13">+H29</f>
        <v>3567.2846798400001</v>
      </c>
      <c r="J29" s="303">
        <f t="shared" si="13"/>
        <v>3567.2846798400001</v>
      </c>
      <c r="K29" s="214"/>
    </row>
    <row r="30" spans="1:11" ht="28.5" customHeight="1">
      <c r="A30" s="357" t="s">
        <v>88</v>
      </c>
      <c r="B30" s="358" t="s">
        <v>23</v>
      </c>
      <c r="C30" s="304">
        <v>536.6</v>
      </c>
      <c r="D30" s="304">
        <v>1000</v>
      </c>
      <c r="E30" s="40">
        <f t="shared" si="6"/>
        <v>463.4</v>
      </c>
      <c r="F30" s="40">
        <f t="shared" si="7"/>
        <v>-63.21040000000005</v>
      </c>
      <c r="G30" s="303">
        <f t="shared" si="10"/>
        <v>936.78959999999995</v>
      </c>
      <c r="H30" s="304">
        <f>+jur!I11</f>
        <v>936.78959999999995</v>
      </c>
      <c r="I30" s="304">
        <f t="shared" si="13"/>
        <v>936.78959999999995</v>
      </c>
      <c r="J30" s="304">
        <f t="shared" si="13"/>
        <v>936.78959999999995</v>
      </c>
      <c r="K30" s="214"/>
    </row>
    <row r="31" spans="1:11" ht="30" customHeight="1">
      <c r="A31" s="357" t="s">
        <v>89</v>
      </c>
      <c r="B31" s="358" t="s">
        <v>23</v>
      </c>
      <c r="C31" s="303">
        <v>3740</v>
      </c>
      <c r="D31" s="303">
        <f>-752+4500</f>
        <v>3748</v>
      </c>
      <c r="E31" s="40">
        <f t="shared" si="6"/>
        <v>8</v>
      </c>
      <c r="F31" s="40">
        <f t="shared" si="7"/>
        <v>1092.3607206000006</v>
      </c>
      <c r="G31" s="303">
        <f t="shared" si="10"/>
        <v>4840.3607206000006</v>
      </c>
      <c r="H31" s="303">
        <f>+'energia jerucum'!I13</f>
        <v>4840.3607206000006</v>
      </c>
      <c r="I31" s="303">
        <f t="shared" si="13"/>
        <v>4840.3607206000006</v>
      </c>
      <c r="J31" s="303">
        <f t="shared" si="13"/>
        <v>4840.3607206000006</v>
      </c>
      <c r="K31" s="214"/>
    </row>
    <row r="32" spans="1:11" ht="28.5" customHeight="1">
      <c r="A32" s="357" t="s">
        <v>99</v>
      </c>
      <c r="B32" s="358" t="s">
        <v>23</v>
      </c>
      <c r="C32" s="303">
        <v>252</v>
      </c>
      <c r="D32" s="303">
        <v>252</v>
      </c>
      <c r="E32" s="40">
        <f t="shared" si="6"/>
        <v>0</v>
      </c>
      <c r="F32" s="40">
        <f t="shared" si="7"/>
        <v>0</v>
      </c>
      <c r="G32" s="303">
        <f t="shared" si="10"/>
        <v>252</v>
      </c>
      <c r="H32" s="303">
        <f>+'part. vcharner'!G15</f>
        <v>252</v>
      </c>
      <c r="I32" s="303">
        <f t="shared" si="13"/>
        <v>252</v>
      </c>
      <c r="J32" s="303">
        <f t="shared" si="13"/>
        <v>252</v>
      </c>
      <c r="K32" s="214"/>
    </row>
    <row r="33" spans="1:11" ht="44.25" customHeight="1">
      <c r="A33" s="357" t="s">
        <v>223</v>
      </c>
      <c r="B33" s="358" t="s">
        <v>23</v>
      </c>
      <c r="C33" s="216">
        <f>4945+840</f>
        <v>5785</v>
      </c>
      <c r="D33" s="216">
        <v>5000</v>
      </c>
      <c r="E33" s="40">
        <f t="shared" si="6"/>
        <v>-785</v>
      </c>
      <c r="F33" s="40">
        <f t="shared" si="7"/>
        <v>0</v>
      </c>
      <c r="G33" s="303">
        <f t="shared" si="10"/>
        <v>5000</v>
      </c>
      <c r="H33" s="216">
        <v>5000</v>
      </c>
      <c r="I33" s="216">
        <v>5000</v>
      </c>
      <c r="J33" s="216">
        <v>5000</v>
      </c>
      <c r="K33" s="40"/>
    </row>
    <row r="34" spans="1:11" ht="42.75">
      <c r="A34" s="357" t="s">
        <v>90</v>
      </c>
      <c r="B34" s="358" t="s">
        <v>23</v>
      </c>
      <c r="C34" s="216">
        <v>1866</v>
      </c>
      <c r="D34" s="216">
        <v>2000</v>
      </c>
      <c r="E34" s="40">
        <f t="shared" si="6"/>
        <v>134</v>
      </c>
      <c r="F34" s="40">
        <f t="shared" si="7"/>
        <v>-1000</v>
      </c>
      <c r="G34" s="303">
        <f t="shared" si="10"/>
        <v>1000</v>
      </c>
      <c r="H34" s="216">
        <v>1000</v>
      </c>
      <c r="I34" s="216">
        <f>+H34</f>
        <v>1000</v>
      </c>
      <c r="J34" s="216">
        <f>+I34</f>
        <v>1000</v>
      </c>
      <c r="K34" s="214"/>
    </row>
    <row r="35" spans="1:11" ht="28.5">
      <c r="A35" s="357" t="s">
        <v>224</v>
      </c>
      <c r="B35" s="358" t="s">
        <v>23</v>
      </c>
      <c r="C35" s="216">
        <f>2658</f>
        <v>2658</v>
      </c>
      <c r="D35" s="216">
        <v>5474.2</v>
      </c>
      <c r="E35" s="40">
        <f t="shared" si="6"/>
        <v>2816.2</v>
      </c>
      <c r="F35" s="40">
        <f t="shared" si="7"/>
        <v>-3910.2</v>
      </c>
      <c r="G35" s="303">
        <f>+H35</f>
        <v>1564</v>
      </c>
      <c r="H35" s="216">
        <f>+masnagitakan!C17/1000+masnagitakan!C13/1000</f>
        <v>1564</v>
      </c>
      <c r="I35" s="216">
        <f t="shared" ref="I35:J37" si="14">+H35</f>
        <v>1564</v>
      </c>
      <c r="J35" s="216">
        <f t="shared" si="14"/>
        <v>1564</v>
      </c>
      <c r="K35" s="214"/>
    </row>
    <row r="36" spans="1:11" ht="54" customHeight="1">
      <c r="A36" s="357" t="s">
        <v>128</v>
      </c>
      <c r="B36" s="358" t="s">
        <v>23</v>
      </c>
      <c r="C36" s="216">
        <v>598</v>
      </c>
      <c r="D36" s="216">
        <v>350</v>
      </c>
      <c r="E36" s="40">
        <f t="shared" si="6"/>
        <v>-248</v>
      </c>
      <c r="F36" s="40">
        <f t="shared" si="7"/>
        <v>650</v>
      </c>
      <c r="G36" s="303">
        <f>+H36</f>
        <v>1000</v>
      </c>
      <c r="H36" s="216">
        <v>1000</v>
      </c>
      <c r="I36" s="216">
        <f t="shared" si="14"/>
        <v>1000</v>
      </c>
      <c r="J36" s="216">
        <f t="shared" si="14"/>
        <v>1000</v>
      </c>
      <c r="K36" s="214"/>
    </row>
    <row r="37" spans="1:11" ht="76.5" customHeight="1">
      <c r="A37" s="357" t="s">
        <v>226</v>
      </c>
      <c r="B37" s="358" t="s">
        <v>23</v>
      </c>
      <c r="C37" s="216">
        <f>1430+1050</f>
        <v>2480</v>
      </c>
      <c r="D37" s="216">
        <f>600+1500</f>
        <v>2100</v>
      </c>
      <c r="E37" s="40">
        <f t="shared" si="6"/>
        <v>-380</v>
      </c>
      <c r="F37" s="40">
        <f t="shared" si="7"/>
        <v>-1235</v>
      </c>
      <c r="G37" s="303">
        <f t="shared" ref="G37:G43" si="15">+H37</f>
        <v>865</v>
      </c>
      <c r="H37" s="216">
        <f>+transp!E15</f>
        <v>865</v>
      </c>
      <c r="I37" s="216">
        <f t="shared" si="14"/>
        <v>865</v>
      </c>
      <c r="J37" s="216">
        <f t="shared" si="14"/>
        <v>865</v>
      </c>
      <c r="K37" s="214"/>
    </row>
    <row r="38" spans="1:11" ht="28.5">
      <c r="A38" s="357" t="s">
        <v>127</v>
      </c>
      <c r="B38" s="358" t="s">
        <v>23</v>
      </c>
      <c r="C38" s="216">
        <f>1052+4360</f>
        <v>5412</v>
      </c>
      <c r="D38" s="216">
        <v>4800</v>
      </c>
      <c r="E38" s="40">
        <f t="shared" si="6"/>
        <v>-612</v>
      </c>
      <c r="F38" s="40">
        <f t="shared" si="7"/>
        <v>2345</v>
      </c>
      <c r="G38" s="303">
        <f>+H38</f>
        <v>7145</v>
      </c>
      <c r="H38" s="216">
        <f>SUM(H39:H45)</f>
        <v>7145</v>
      </c>
      <c r="I38" s="216">
        <f>SUM(I39:I45)</f>
        <v>7145</v>
      </c>
      <c r="J38" s="216">
        <f>SUM(J39:J45)</f>
        <v>7145</v>
      </c>
      <c r="K38" s="214"/>
    </row>
    <row r="39" spans="1:11" ht="28.5">
      <c r="A39" s="357" t="s">
        <v>131</v>
      </c>
      <c r="B39" s="358" t="s">
        <v>23</v>
      </c>
      <c r="C39" s="216">
        <f>1805+1594.3+200</f>
        <v>3599.3</v>
      </c>
      <c r="D39" s="216">
        <v>4000</v>
      </c>
      <c r="E39" s="40">
        <f t="shared" si="6"/>
        <v>400.69999999999982</v>
      </c>
      <c r="F39" s="40">
        <f t="shared" si="7"/>
        <v>2000</v>
      </c>
      <c r="G39" s="303">
        <f t="shared" si="15"/>
        <v>6000</v>
      </c>
      <c r="H39" s="216">
        <v>6000</v>
      </c>
      <c r="I39" s="216">
        <f>+H39</f>
        <v>6000</v>
      </c>
      <c r="J39" s="216">
        <f>+I39</f>
        <v>6000</v>
      </c>
      <c r="K39" s="214"/>
    </row>
    <row r="40" spans="1:11" ht="28.5">
      <c r="A40" s="357" t="s">
        <v>130</v>
      </c>
      <c r="B40" s="358" t="s">
        <v>23</v>
      </c>
      <c r="C40" s="216">
        <v>50</v>
      </c>
      <c r="D40" s="216">
        <v>60</v>
      </c>
      <c r="E40" s="40">
        <f t="shared" si="6"/>
        <v>10</v>
      </c>
      <c r="F40" s="40">
        <f t="shared" si="7"/>
        <v>-10</v>
      </c>
      <c r="G40" s="303">
        <v>50</v>
      </c>
      <c r="H40" s="216">
        <v>50</v>
      </c>
      <c r="I40" s="216">
        <v>50</v>
      </c>
      <c r="J40" s="216">
        <v>50</v>
      </c>
      <c r="K40" s="214"/>
    </row>
    <row r="41" spans="1:11" ht="28.5">
      <c r="A41" s="357" t="s">
        <v>229</v>
      </c>
      <c r="B41" s="357" t="s">
        <v>39</v>
      </c>
      <c r="C41" s="216">
        <v>95</v>
      </c>
      <c r="D41" s="216">
        <v>95</v>
      </c>
      <c r="E41" s="40">
        <f t="shared" si="6"/>
        <v>0</v>
      </c>
      <c r="F41" s="40">
        <f t="shared" si="7"/>
        <v>0</v>
      </c>
      <c r="G41" s="303">
        <v>95</v>
      </c>
      <c r="H41" s="216">
        <v>95</v>
      </c>
      <c r="I41" s="216">
        <v>95</v>
      </c>
      <c r="J41" s="216">
        <v>95</v>
      </c>
      <c r="K41" s="214"/>
    </row>
    <row r="42" spans="1:11" ht="28.5">
      <c r="A42" s="357" t="s">
        <v>129</v>
      </c>
      <c r="B42" s="358" t="s">
        <v>23</v>
      </c>
      <c r="C42" s="216"/>
      <c r="D42" s="216"/>
      <c r="E42" s="40">
        <f t="shared" si="6"/>
        <v>0</v>
      </c>
      <c r="F42" s="40">
        <f t="shared" si="7"/>
        <v>0</v>
      </c>
      <c r="G42" s="303">
        <f t="shared" si="15"/>
        <v>0</v>
      </c>
      <c r="H42" s="216">
        <v>0</v>
      </c>
      <c r="I42" s="216">
        <f>+H42</f>
        <v>0</v>
      </c>
      <c r="J42" s="216">
        <f>+I42</f>
        <v>0</v>
      </c>
      <c r="K42" s="214"/>
    </row>
    <row r="43" spans="1:11" ht="28.5">
      <c r="A43" s="357" t="s">
        <v>230</v>
      </c>
      <c r="B43" s="358" t="s">
        <v>23</v>
      </c>
      <c r="C43" s="216">
        <v>836.6</v>
      </c>
      <c r="D43" s="216">
        <v>1000</v>
      </c>
      <c r="E43" s="40">
        <f t="shared" si="6"/>
        <v>163.39999999999998</v>
      </c>
      <c r="F43" s="40">
        <f t="shared" si="7"/>
        <v>0</v>
      </c>
      <c r="G43" s="303">
        <f t="shared" si="15"/>
        <v>1000</v>
      </c>
      <c r="H43" s="216">
        <f>+տպագրական!E13/1000</f>
        <v>1000</v>
      </c>
      <c r="I43" s="216">
        <f>+H43</f>
        <v>1000</v>
      </c>
      <c r="J43" s="216">
        <f>+I43</f>
        <v>1000</v>
      </c>
      <c r="K43" s="214"/>
    </row>
    <row r="44" spans="1:11" ht="14.25" hidden="1">
      <c r="A44" s="357"/>
      <c r="B44" s="358"/>
      <c r="C44" s="216"/>
      <c r="D44" s="216"/>
      <c r="E44" s="40">
        <f t="shared" si="6"/>
        <v>0</v>
      </c>
      <c r="F44" s="40">
        <f t="shared" si="7"/>
        <v>0</v>
      </c>
      <c r="G44" s="216"/>
      <c r="H44" s="216"/>
      <c r="I44" s="216"/>
      <c r="J44" s="216"/>
      <c r="K44" s="214"/>
    </row>
    <row r="45" spans="1:11" ht="28.5">
      <c r="A45" s="357" t="s">
        <v>357</v>
      </c>
      <c r="B45" s="358"/>
      <c r="C45" s="216">
        <v>0</v>
      </c>
      <c r="D45" s="216">
        <v>0</v>
      </c>
      <c r="E45" s="40">
        <f>+D45-C45</f>
        <v>0</v>
      </c>
      <c r="F45" s="40">
        <f t="shared" si="7"/>
        <v>0</v>
      </c>
      <c r="G45" s="216">
        <v>0</v>
      </c>
      <c r="H45" s="216">
        <v>0</v>
      </c>
      <c r="I45" s="216">
        <v>0</v>
      </c>
      <c r="J45" s="216">
        <v>0</v>
      </c>
      <c r="K45" s="214"/>
    </row>
    <row r="46" spans="1:11" ht="41.25" hidden="1" customHeight="1">
      <c r="A46" s="357" t="s">
        <v>86</v>
      </c>
      <c r="B46" s="358" t="s">
        <v>23</v>
      </c>
      <c r="C46" s="303">
        <f t="shared" ref="C46:H46" si="16">SUM(C47:C49)</f>
        <v>0</v>
      </c>
      <c r="D46" s="303">
        <f t="shared" si="16"/>
        <v>0</v>
      </c>
      <c r="E46" s="40">
        <f t="shared" si="6"/>
        <v>0</v>
      </c>
      <c r="F46" s="40">
        <f t="shared" si="7"/>
        <v>0</v>
      </c>
      <c r="G46" s="303"/>
      <c r="H46" s="303">
        <f t="shared" si="16"/>
        <v>0</v>
      </c>
      <c r="I46" s="303">
        <v>0</v>
      </c>
      <c r="J46" s="303">
        <v>0</v>
      </c>
      <c r="K46" s="214"/>
    </row>
    <row r="47" spans="1:11" ht="28.5" hidden="1">
      <c r="A47" s="357" t="s">
        <v>91</v>
      </c>
      <c r="B47" s="358" t="s">
        <v>23</v>
      </c>
      <c r="C47" s="216"/>
      <c r="D47" s="216"/>
      <c r="E47" s="40">
        <f t="shared" si="6"/>
        <v>0</v>
      </c>
      <c r="F47" s="40">
        <f t="shared" si="7"/>
        <v>0</v>
      </c>
      <c r="G47" s="216"/>
      <c r="H47" s="216">
        <f>+G47</f>
        <v>0</v>
      </c>
      <c r="I47" s="216">
        <v>0</v>
      </c>
      <c r="J47" s="216">
        <v>0</v>
      </c>
      <c r="K47" s="40"/>
    </row>
    <row r="48" spans="1:11" ht="28.5" hidden="1">
      <c r="A48" s="357" t="s">
        <v>92</v>
      </c>
      <c r="B48" s="358" t="s">
        <v>23</v>
      </c>
      <c r="C48" s="216"/>
      <c r="D48" s="216"/>
      <c r="E48" s="40">
        <f t="shared" si="6"/>
        <v>0</v>
      </c>
      <c r="F48" s="40">
        <f t="shared" si="7"/>
        <v>0</v>
      </c>
      <c r="G48" s="216"/>
      <c r="H48" s="216">
        <f>+G48</f>
        <v>0</v>
      </c>
      <c r="I48" s="216">
        <v>0</v>
      </c>
      <c r="J48" s="216">
        <v>0</v>
      </c>
      <c r="K48" s="214"/>
    </row>
    <row r="49" spans="1:12" ht="10.5" hidden="1" customHeight="1">
      <c r="A49" s="357" t="s">
        <v>93</v>
      </c>
      <c r="B49" s="358" t="s">
        <v>23</v>
      </c>
      <c r="C49" s="216"/>
      <c r="D49" s="216"/>
      <c r="E49" s="40">
        <f t="shared" si="6"/>
        <v>0</v>
      </c>
      <c r="F49" s="40">
        <f t="shared" si="7"/>
        <v>0</v>
      </c>
      <c r="G49" s="216"/>
      <c r="H49" s="216"/>
      <c r="I49" s="216"/>
      <c r="J49" s="216"/>
      <c r="K49" s="214"/>
    </row>
    <row r="50" spans="1:12" ht="28.5">
      <c r="A50" s="38" t="s">
        <v>79</v>
      </c>
      <c r="B50" s="358" t="s">
        <v>23</v>
      </c>
      <c r="C50" s="305">
        <f>SUM(C51:C55)</f>
        <v>38751.5</v>
      </c>
      <c r="D50" s="305">
        <f>SUM(D51:D55)</f>
        <v>31338.199999999997</v>
      </c>
      <c r="E50" s="40">
        <f t="shared" si="6"/>
        <v>-7413.3000000000029</v>
      </c>
      <c r="F50" s="40">
        <f t="shared" si="7"/>
        <v>7245.8239142325619</v>
      </c>
      <c r="G50" s="303">
        <f t="shared" ref="G50:G55" si="17">+H50</f>
        <v>38584.023914232559</v>
      </c>
      <c r="H50" s="305">
        <f>SUM(H51:H56)</f>
        <v>38584.023914232559</v>
      </c>
      <c r="I50" s="305">
        <f>SUM(I51:I56)</f>
        <v>38584.023914232559</v>
      </c>
      <c r="J50" s="305">
        <f t="shared" ref="J50" si="18">SUM(J51:J56)</f>
        <v>38584.023914232559</v>
      </c>
      <c r="K50" s="214"/>
    </row>
    <row r="51" spans="1:12" ht="28.5">
      <c r="A51" s="357" t="s">
        <v>133</v>
      </c>
      <c r="B51" s="358" t="s">
        <v>23</v>
      </c>
      <c r="C51" s="306">
        <v>35</v>
      </c>
      <c r="D51" s="306">
        <v>8</v>
      </c>
      <c r="E51" s="40">
        <f t="shared" si="6"/>
        <v>-27</v>
      </c>
      <c r="F51" s="40">
        <f t="shared" si="7"/>
        <v>0</v>
      </c>
      <c r="G51" s="303">
        <f t="shared" si="17"/>
        <v>8</v>
      </c>
      <c r="H51" s="306">
        <v>8</v>
      </c>
      <c r="I51" s="306">
        <f t="shared" ref="I51:J52" si="19">+H51</f>
        <v>8</v>
      </c>
      <c r="J51" s="306">
        <f t="shared" si="19"/>
        <v>8</v>
      </c>
      <c r="K51" s="214"/>
    </row>
    <row r="52" spans="1:12" ht="47.25" customHeight="1">
      <c r="A52" s="403" t="s">
        <v>134</v>
      </c>
      <c r="B52" s="358" t="s">
        <v>23</v>
      </c>
      <c r="C52" s="214">
        <v>16</v>
      </c>
      <c r="D52" s="214">
        <v>16</v>
      </c>
      <c r="E52" s="40">
        <f t="shared" si="6"/>
        <v>0</v>
      </c>
      <c r="F52" s="40">
        <f t="shared" si="7"/>
        <v>-6.6</v>
      </c>
      <c r="G52" s="303">
        <f t="shared" si="17"/>
        <v>9.4</v>
      </c>
      <c r="H52" s="214">
        <f>+'part. vcharner'!G7</f>
        <v>9.4</v>
      </c>
      <c r="I52" s="214">
        <f t="shared" si="19"/>
        <v>9.4</v>
      </c>
      <c r="J52" s="214">
        <f t="shared" si="19"/>
        <v>9.4</v>
      </c>
      <c r="K52" s="374"/>
      <c r="L52" s="359"/>
    </row>
    <row r="53" spans="1:12" ht="28.5">
      <c r="A53" s="357" t="s">
        <v>135</v>
      </c>
      <c r="B53" s="358" t="s">
        <v>23</v>
      </c>
      <c r="C53" s="306">
        <v>0</v>
      </c>
      <c r="D53" s="306">
        <v>0</v>
      </c>
      <c r="E53" s="40">
        <f t="shared" si="6"/>
        <v>0</v>
      </c>
      <c r="F53" s="40">
        <f t="shared" si="7"/>
        <v>12</v>
      </c>
      <c r="G53" s="303">
        <v>12</v>
      </c>
      <c r="H53" s="306">
        <v>12</v>
      </c>
      <c r="I53" s="306">
        <v>12</v>
      </c>
      <c r="J53" s="306">
        <v>12</v>
      </c>
      <c r="K53" s="374"/>
      <c r="L53" s="359"/>
    </row>
    <row r="54" spans="1:12" ht="28.5">
      <c r="A54" s="357" t="s">
        <v>256</v>
      </c>
      <c r="B54" s="358" t="s">
        <v>23</v>
      </c>
      <c r="C54" s="306">
        <v>48</v>
      </c>
      <c r="D54" s="306">
        <v>48</v>
      </c>
      <c r="E54" s="40">
        <f t="shared" si="6"/>
        <v>0</v>
      </c>
      <c r="F54" s="40">
        <f t="shared" si="7"/>
        <v>0</v>
      </c>
      <c r="G54" s="303">
        <v>48</v>
      </c>
      <c r="H54" s="306">
        <v>48</v>
      </c>
      <c r="I54" s="306">
        <v>48</v>
      </c>
      <c r="J54" s="306">
        <v>48</v>
      </c>
      <c r="K54" s="374"/>
      <c r="L54" s="359"/>
    </row>
    <row r="55" spans="1:12" ht="29.25" customHeight="1">
      <c r="A55" s="357" t="s">
        <v>272</v>
      </c>
      <c r="B55" s="358"/>
      <c r="C55" s="306">
        <v>38652.5</v>
      </c>
      <c r="D55" s="306">
        <f>4851.4+26414.8</f>
        <v>31266.199999999997</v>
      </c>
      <c r="E55" s="40">
        <f t="shared" si="6"/>
        <v>-7386.3000000000029</v>
      </c>
      <c r="F55" s="40">
        <f t="shared" si="7"/>
        <v>7240.4239142325605</v>
      </c>
      <c r="G55" s="303">
        <f t="shared" si="17"/>
        <v>38506.623914232558</v>
      </c>
      <c r="H55" s="306">
        <f>+(H12-H14)*16.67%</f>
        <v>38506.623914232558</v>
      </c>
      <c r="I55" s="306">
        <f t="shared" ref="I55:J55" si="20">+(I12-I14)*16.67%</f>
        <v>38506.623914232558</v>
      </c>
      <c r="J55" s="306">
        <f t="shared" si="20"/>
        <v>38506.623914232558</v>
      </c>
      <c r="K55" s="374"/>
      <c r="L55" s="359"/>
    </row>
    <row r="56" spans="1:12" ht="14.25">
      <c r="A56" s="457"/>
      <c r="B56" s="458"/>
      <c r="C56" s="458"/>
      <c r="D56" s="458"/>
      <c r="E56" s="458"/>
      <c r="F56" s="458"/>
      <c r="G56" s="458"/>
      <c r="H56" s="458"/>
      <c r="I56" s="458"/>
      <c r="J56" s="459"/>
      <c r="K56" s="374"/>
      <c r="L56" s="359"/>
    </row>
    <row r="57" spans="1:12" ht="32.25" customHeight="1">
      <c r="B57" s="380" t="s">
        <v>106</v>
      </c>
      <c r="C57" s="441"/>
      <c r="D57" s="414"/>
      <c r="E57" s="380"/>
      <c r="F57" s="380"/>
      <c r="G57" s="380"/>
      <c r="H57" s="380" t="s">
        <v>273</v>
      </c>
      <c r="K57" s="359"/>
      <c r="L57" s="359"/>
    </row>
    <row r="58" spans="1:12" ht="17.25">
      <c r="B58" s="380"/>
      <c r="C58" s="380"/>
      <c r="D58" s="414"/>
      <c r="E58" s="380"/>
      <c r="F58" s="380"/>
      <c r="G58" s="381"/>
      <c r="H58" s="380"/>
      <c r="K58" s="359"/>
      <c r="L58" s="359"/>
    </row>
    <row r="59" spans="1:12" ht="68.25" customHeight="1">
      <c r="B59" s="460" t="s">
        <v>354</v>
      </c>
      <c r="C59" s="460"/>
      <c r="D59" s="460"/>
      <c r="E59" s="380"/>
      <c r="F59" s="380"/>
      <c r="G59" s="381"/>
      <c r="H59" s="380" t="s">
        <v>361</v>
      </c>
      <c r="K59" s="452"/>
      <c r="L59" s="359"/>
    </row>
    <row r="60" spans="1:12" ht="17.25">
      <c r="B60" s="380"/>
      <c r="C60" s="380"/>
      <c r="D60" s="380"/>
      <c r="E60" s="380"/>
      <c r="F60" s="380"/>
      <c r="G60" s="381"/>
      <c r="H60" s="380"/>
    </row>
    <row r="64" spans="1:12">
      <c r="H64" s="362"/>
    </row>
  </sheetData>
  <mergeCells count="2">
    <mergeCell ref="A56:J56"/>
    <mergeCell ref="B59:D59"/>
  </mergeCells>
  <phoneticPr fontId="0" type="noConversion"/>
  <pageMargins left="0.19685039370078741" right="0.19685039370078741" top="0.23622047244094491" bottom="0.23622047244094491" header="0.23622047244094491" footer="0.23622047244094491"/>
  <pageSetup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32"/>
  <sheetViews>
    <sheetView topLeftCell="A7" zoomScaleNormal="100" workbookViewId="0">
      <selection activeCell="G18" sqref="G18"/>
    </sheetView>
  </sheetViews>
  <sheetFormatPr defaultColWidth="9.140625" defaultRowHeight="13.5"/>
  <cols>
    <col min="1" max="1" width="29.7109375" style="1" customWidth="1"/>
    <col min="2" max="2" width="13.28515625" style="1" customWidth="1"/>
    <col min="3" max="3" width="11.28515625" style="1" customWidth="1"/>
    <col min="4" max="4" width="12.42578125" style="1" customWidth="1"/>
    <col min="5" max="5" width="11.28515625" style="1" customWidth="1"/>
    <col min="6" max="6" width="9.140625" style="1" customWidth="1"/>
    <col min="7" max="7" width="11.28515625" style="1" customWidth="1"/>
    <col min="8" max="8" width="10.7109375" style="1" customWidth="1"/>
    <col min="9" max="9" width="12.28515625" style="1" customWidth="1"/>
    <col min="10" max="10" width="11.5703125" style="1" customWidth="1"/>
    <col min="11" max="11" width="53.7109375" style="1" customWidth="1"/>
    <col min="12" max="12" width="9.140625" style="1" customWidth="1"/>
    <col min="13" max="14" width="10.140625" style="1" customWidth="1"/>
    <col min="15" max="18" width="9.140625" style="1" customWidth="1"/>
    <col min="19" max="20" width="9.140625" style="1"/>
    <col min="21" max="21" width="10.140625" style="1" bestFit="1" customWidth="1"/>
    <col min="22" max="16384" width="9.140625" style="1"/>
  </cols>
  <sheetData>
    <row r="1" spans="1:11">
      <c r="F1" s="1" t="s">
        <v>0</v>
      </c>
    </row>
    <row r="2" spans="1:11" ht="15" thickBot="1">
      <c r="C2" s="2" t="s">
        <v>50</v>
      </c>
    </row>
    <row r="3" spans="1:11" ht="14.25">
      <c r="A3" s="4" t="s">
        <v>51</v>
      </c>
      <c r="B3" s="4"/>
      <c r="C3" s="4"/>
      <c r="D3" s="4"/>
      <c r="E3" s="4"/>
      <c r="F3" s="4"/>
      <c r="G3" s="4"/>
    </row>
    <row r="4" spans="1:11" ht="11.25" customHeight="1">
      <c r="A4" s="4"/>
      <c r="B4" s="4"/>
      <c r="C4" s="4"/>
      <c r="D4" s="4"/>
      <c r="E4" s="4"/>
      <c r="F4" s="4"/>
      <c r="G4" s="4"/>
    </row>
    <row r="5" spans="1:11" ht="14.25">
      <c r="A5" s="5" t="s">
        <v>114</v>
      </c>
      <c r="B5" s="6"/>
      <c r="C5" s="6"/>
      <c r="D5" s="6"/>
      <c r="E5" s="6"/>
      <c r="F5" s="6"/>
      <c r="G5" s="6"/>
    </row>
    <row r="6" spans="1:11" ht="14.25">
      <c r="A6" s="5" t="s">
        <v>3</v>
      </c>
      <c r="B6" s="5" t="s">
        <v>115</v>
      </c>
      <c r="C6" s="5"/>
      <c r="D6" s="5"/>
      <c r="E6" s="5"/>
      <c r="F6" s="5" t="s">
        <v>325</v>
      </c>
      <c r="G6" s="5"/>
    </row>
    <row r="7" spans="1:11" ht="12.75" customHeight="1">
      <c r="A7" s="5" t="s">
        <v>4</v>
      </c>
      <c r="B7" s="5" t="s">
        <v>116</v>
      </c>
      <c r="C7" s="5"/>
      <c r="D7" s="5" t="s">
        <v>117</v>
      </c>
      <c r="E7" s="5"/>
      <c r="F7" s="5"/>
      <c r="G7" s="5"/>
    </row>
    <row r="8" spans="1:11" s="9" customFormat="1" ht="14.25">
      <c r="A8" s="3"/>
      <c r="B8" s="7"/>
      <c r="C8" s="7"/>
      <c r="D8" s="7"/>
      <c r="E8" s="7"/>
      <c r="F8" s="7"/>
      <c r="G8" s="7"/>
    </row>
    <row r="9" spans="1:11" s="9" customFormat="1" ht="51.75" customHeight="1">
      <c r="A9" s="22"/>
      <c r="B9" s="22"/>
      <c r="C9" s="22"/>
      <c r="D9" s="22" t="s">
        <v>393</v>
      </c>
      <c r="E9" s="31" t="s">
        <v>5</v>
      </c>
      <c r="F9" s="31"/>
      <c r="G9" s="22" t="s">
        <v>377</v>
      </c>
      <c r="H9" s="22" t="s">
        <v>377</v>
      </c>
      <c r="I9" s="22" t="s">
        <v>390</v>
      </c>
      <c r="J9" s="22" t="s">
        <v>394</v>
      </c>
      <c r="K9" s="389" t="s">
        <v>365</v>
      </c>
    </row>
    <row r="10" spans="1:11" s="9" customFormat="1" ht="34.5" customHeight="1">
      <c r="A10" s="22" t="s">
        <v>6</v>
      </c>
      <c r="B10" s="22" t="s">
        <v>7</v>
      </c>
      <c r="C10" s="22" t="s">
        <v>392</v>
      </c>
      <c r="D10" s="22" t="s">
        <v>8</v>
      </c>
      <c r="E10" s="446" t="s">
        <v>364</v>
      </c>
      <c r="F10" s="446" t="s">
        <v>377</v>
      </c>
      <c r="G10" s="22" t="s">
        <v>9</v>
      </c>
      <c r="H10" s="22" t="s">
        <v>10</v>
      </c>
      <c r="I10" s="22" t="s">
        <v>10</v>
      </c>
      <c r="J10" s="22" t="s">
        <v>10</v>
      </c>
      <c r="K10" s="390" t="s">
        <v>366</v>
      </c>
    </row>
    <row r="11" spans="1:11" s="9" customFormat="1" ht="18" customHeight="1">
      <c r="A11" s="22" t="s">
        <v>11</v>
      </c>
      <c r="B11" s="22" t="s">
        <v>12</v>
      </c>
      <c r="C11" s="22" t="s">
        <v>13</v>
      </c>
      <c r="D11" s="22" t="s">
        <v>14</v>
      </c>
      <c r="E11" s="22" t="s">
        <v>15</v>
      </c>
      <c r="F11" s="22" t="s">
        <v>16</v>
      </c>
      <c r="G11" s="22" t="s">
        <v>17</v>
      </c>
      <c r="H11" s="22" t="s">
        <v>18</v>
      </c>
      <c r="I11" s="22" t="s">
        <v>101</v>
      </c>
      <c r="J11" s="22" t="s">
        <v>102</v>
      </c>
      <c r="K11" s="390" t="s">
        <v>103</v>
      </c>
    </row>
    <row r="12" spans="1:11" s="9" customFormat="1" ht="51" customHeight="1">
      <c r="A12" s="24" t="s">
        <v>52</v>
      </c>
      <c r="B12" s="17" t="s">
        <v>33</v>
      </c>
      <c r="C12" s="8">
        <v>120</v>
      </c>
      <c r="D12" s="8">
        <v>40</v>
      </c>
      <c r="E12" s="8">
        <f>+D12-C12</f>
        <v>-80</v>
      </c>
      <c r="F12" s="8">
        <f>+G12-D12</f>
        <v>20</v>
      </c>
      <c r="G12" s="8">
        <v>60</v>
      </c>
      <c r="H12" s="8">
        <v>60</v>
      </c>
      <c r="I12" s="22">
        <v>60</v>
      </c>
      <c r="J12" s="22">
        <v>60</v>
      </c>
      <c r="K12" s="22"/>
    </row>
    <row r="13" spans="1:11" s="9" customFormat="1" ht="87.75" customHeight="1">
      <c r="A13" s="24" t="s">
        <v>53</v>
      </c>
      <c r="B13" s="17" t="s">
        <v>33</v>
      </c>
      <c r="C13" s="8">
        <v>120</v>
      </c>
      <c r="D13" s="8">
        <v>40</v>
      </c>
      <c r="E13" s="8">
        <f t="shared" ref="E13:E27" si="0">+D13-C13</f>
        <v>-80</v>
      </c>
      <c r="F13" s="8">
        <f t="shared" ref="F13:F27" si="1">+G13-D13</f>
        <v>20</v>
      </c>
      <c r="G13" s="8">
        <v>60</v>
      </c>
      <c r="H13" s="8">
        <v>60</v>
      </c>
      <c r="I13" s="22">
        <v>60</v>
      </c>
      <c r="J13" s="22">
        <v>60</v>
      </c>
      <c r="K13" s="341" t="s">
        <v>371</v>
      </c>
    </row>
    <row r="14" spans="1:11" s="9" customFormat="1" ht="48" customHeight="1">
      <c r="A14" s="24" t="s">
        <v>54</v>
      </c>
      <c r="B14" s="17" t="s">
        <v>33</v>
      </c>
      <c r="C14" s="8"/>
      <c r="D14" s="8"/>
      <c r="E14" s="8">
        <f t="shared" si="0"/>
        <v>0</v>
      </c>
      <c r="F14" s="8">
        <f t="shared" si="1"/>
        <v>0</v>
      </c>
      <c r="G14" s="8"/>
      <c r="H14" s="8"/>
      <c r="I14" s="22"/>
      <c r="J14" s="22"/>
      <c r="K14" s="22"/>
    </row>
    <row r="15" spans="1:11" s="9" customFormat="1" ht="48" customHeight="1">
      <c r="A15" s="24" t="s">
        <v>55</v>
      </c>
      <c r="B15" s="17" t="s">
        <v>33</v>
      </c>
      <c r="C15" s="8"/>
      <c r="D15" s="8"/>
      <c r="E15" s="8">
        <f t="shared" si="0"/>
        <v>0</v>
      </c>
      <c r="F15" s="8">
        <f t="shared" si="1"/>
        <v>0</v>
      </c>
      <c r="G15" s="8"/>
      <c r="H15" s="8"/>
      <c r="I15" s="22"/>
      <c r="J15" s="22"/>
      <c r="K15" s="22"/>
    </row>
    <row r="16" spans="1:11" s="9" customFormat="1" ht="57.75" customHeight="1">
      <c r="A16" s="24" t="s">
        <v>56</v>
      </c>
      <c r="B16" s="17"/>
      <c r="C16" s="8"/>
      <c r="D16" s="8"/>
      <c r="E16" s="8">
        <f t="shared" si="0"/>
        <v>0</v>
      </c>
      <c r="F16" s="8">
        <f t="shared" si="1"/>
        <v>0</v>
      </c>
      <c r="G16" s="8"/>
      <c r="H16" s="8"/>
      <c r="I16" s="22"/>
      <c r="J16" s="22"/>
      <c r="K16" s="22"/>
    </row>
    <row r="17" spans="1:11" s="9" customFormat="1" ht="14.25">
      <c r="A17" s="24" t="s">
        <v>57</v>
      </c>
      <c r="B17" s="17" t="s">
        <v>58</v>
      </c>
      <c r="C17" s="8"/>
      <c r="D17" s="8"/>
      <c r="E17" s="8">
        <f t="shared" si="0"/>
        <v>0</v>
      </c>
      <c r="F17" s="8">
        <f t="shared" si="1"/>
        <v>0</v>
      </c>
      <c r="G17" s="8"/>
      <c r="H17" s="8"/>
      <c r="I17" s="22"/>
      <c r="J17" s="22"/>
      <c r="K17" s="22"/>
    </row>
    <row r="18" spans="1:11" s="9" customFormat="1" ht="14.25">
      <c r="A18" s="24" t="s">
        <v>59</v>
      </c>
      <c r="B18" s="17" t="s">
        <v>35</v>
      </c>
      <c r="C18" s="8"/>
      <c r="D18" s="8"/>
      <c r="E18" s="8">
        <f t="shared" si="0"/>
        <v>0</v>
      </c>
      <c r="F18" s="8">
        <f t="shared" si="1"/>
        <v>0</v>
      </c>
      <c r="G18" s="8"/>
      <c r="H18" s="8"/>
      <c r="I18" s="22"/>
      <c r="J18" s="22"/>
      <c r="K18" s="22"/>
    </row>
    <row r="19" spans="1:11" s="9" customFormat="1" ht="14.25">
      <c r="A19" s="24" t="s">
        <v>60</v>
      </c>
      <c r="B19" s="17" t="s">
        <v>61</v>
      </c>
      <c r="C19" s="8"/>
      <c r="D19" s="8"/>
      <c r="E19" s="8">
        <f t="shared" si="0"/>
        <v>0</v>
      </c>
      <c r="F19" s="8">
        <f t="shared" si="1"/>
        <v>0</v>
      </c>
      <c r="G19" s="8"/>
      <c r="H19" s="8"/>
      <c r="I19" s="22"/>
      <c r="J19" s="22"/>
      <c r="K19" s="22"/>
    </row>
    <row r="20" spans="1:11" ht="14.25">
      <c r="A20" s="24" t="s">
        <v>62</v>
      </c>
      <c r="B20" s="17" t="s">
        <v>36</v>
      </c>
      <c r="C20" s="8"/>
      <c r="D20" s="8"/>
      <c r="E20" s="8">
        <f t="shared" si="0"/>
        <v>0</v>
      </c>
      <c r="F20" s="8">
        <f t="shared" si="1"/>
        <v>0</v>
      </c>
      <c r="G20" s="8"/>
      <c r="H20" s="8"/>
      <c r="I20" s="13"/>
      <c r="J20" s="13"/>
      <c r="K20" s="13"/>
    </row>
    <row r="21" spans="1:11" ht="39.75" customHeight="1">
      <c r="A21" s="24" t="s">
        <v>63</v>
      </c>
      <c r="B21" s="17" t="s">
        <v>64</v>
      </c>
      <c r="C21" s="8">
        <v>111.11499999999999</v>
      </c>
      <c r="D21" s="8">
        <v>111.11499999999999</v>
      </c>
      <c r="E21" s="8">
        <f t="shared" si="0"/>
        <v>0</v>
      </c>
      <c r="F21" s="8">
        <f t="shared" si="1"/>
        <v>0</v>
      </c>
      <c r="G21" s="8">
        <v>111.11499999999999</v>
      </c>
      <c r="H21" s="8">
        <v>111.11499999999999</v>
      </c>
      <c r="I21" s="8">
        <v>111.11499999999999</v>
      </c>
      <c r="J21" s="8">
        <v>111.11499999999999</v>
      </c>
      <c r="K21" s="13"/>
    </row>
    <row r="22" spans="1:11" ht="14.25">
      <c r="A22" s="24" t="s">
        <v>370</v>
      </c>
      <c r="B22" s="17" t="s">
        <v>370</v>
      </c>
      <c r="C22" s="8"/>
      <c r="D22" s="8"/>
      <c r="E22" s="8">
        <f t="shared" si="0"/>
        <v>0</v>
      </c>
      <c r="F22" s="8">
        <f t="shared" si="1"/>
        <v>0</v>
      </c>
      <c r="G22" s="8"/>
      <c r="H22" s="8"/>
      <c r="I22" s="13"/>
      <c r="J22" s="13"/>
      <c r="K22" s="13"/>
    </row>
    <row r="23" spans="1:11" ht="14.25">
      <c r="A23" s="24" t="s">
        <v>57</v>
      </c>
      <c r="B23" s="17" t="s">
        <v>58</v>
      </c>
      <c r="C23" s="8"/>
      <c r="D23" s="8"/>
      <c r="E23" s="8">
        <f t="shared" si="0"/>
        <v>0</v>
      </c>
      <c r="F23" s="8">
        <f t="shared" si="1"/>
        <v>0</v>
      </c>
      <c r="G23" s="8"/>
      <c r="H23" s="8"/>
      <c r="I23" s="13"/>
      <c r="J23" s="13"/>
      <c r="K23" s="13"/>
    </row>
    <row r="24" spans="1:11" ht="14.25">
      <c r="A24" s="24" t="s">
        <v>59</v>
      </c>
      <c r="B24" s="17" t="s">
        <v>35</v>
      </c>
      <c r="C24" s="8"/>
      <c r="D24" s="8"/>
      <c r="E24" s="8">
        <f t="shared" si="0"/>
        <v>0</v>
      </c>
      <c r="F24" s="8">
        <f t="shared" si="1"/>
        <v>0</v>
      </c>
      <c r="G24" s="8"/>
      <c r="H24" s="8"/>
      <c r="I24" s="13"/>
      <c r="J24" s="13"/>
      <c r="K24" s="13"/>
    </row>
    <row r="25" spans="1:11" ht="14.25">
      <c r="A25" s="24" t="s">
        <v>60</v>
      </c>
      <c r="B25" s="17" t="s">
        <v>61</v>
      </c>
      <c r="C25" s="8"/>
      <c r="D25" s="8"/>
      <c r="E25" s="8">
        <f t="shared" si="0"/>
        <v>0</v>
      </c>
      <c r="F25" s="8">
        <f t="shared" si="1"/>
        <v>0</v>
      </c>
      <c r="G25" s="8"/>
      <c r="H25" s="8"/>
      <c r="I25" s="13"/>
      <c r="J25" s="13"/>
      <c r="K25" s="13"/>
    </row>
    <row r="26" spans="1:11" ht="14.25">
      <c r="A26" s="24" t="s">
        <v>62</v>
      </c>
      <c r="B26" s="17" t="s">
        <v>36</v>
      </c>
      <c r="C26" s="8"/>
      <c r="D26" s="8"/>
      <c r="E26" s="8">
        <f t="shared" si="0"/>
        <v>0</v>
      </c>
      <c r="F26" s="8">
        <f t="shared" si="1"/>
        <v>0</v>
      </c>
      <c r="G26" s="8"/>
      <c r="H26" s="8"/>
      <c r="I26" s="13"/>
      <c r="J26" s="13"/>
      <c r="K26" s="13"/>
    </row>
    <row r="27" spans="1:11" ht="45" customHeight="1">
      <c r="A27" s="416" t="s">
        <v>82</v>
      </c>
      <c r="B27" s="17" t="s">
        <v>39</v>
      </c>
      <c r="C27" s="8">
        <v>61102.1</v>
      </c>
      <c r="D27" s="8">
        <v>44444.6</v>
      </c>
      <c r="E27" s="8">
        <f t="shared" si="0"/>
        <v>-16657.5</v>
      </c>
      <c r="F27" s="8">
        <f t="shared" si="1"/>
        <v>22224.400000000001</v>
      </c>
      <c r="G27" s="23">
        <v>66669</v>
      </c>
      <c r="H27" s="23">
        <v>66669</v>
      </c>
      <c r="I27" s="23">
        <v>66669</v>
      </c>
      <c r="J27" s="23">
        <v>66669</v>
      </c>
      <c r="K27" s="22" t="s">
        <v>374</v>
      </c>
    </row>
    <row r="28" spans="1:11" ht="17.25" customHeight="1">
      <c r="A28" s="12"/>
      <c r="B28" s="10"/>
      <c r="I28" s="39"/>
    </row>
    <row r="29" spans="1:11" ht="17.25">
      <c r="A29" s="4"/>
      <c r="C29" s="356" t="s">
        <v>106</v>
      </c>
      <c r="D29" s="356"/>
      <c r="E29" s="409"/>
      <c r="F29" s="356"/>
      <c r="G29" s="356" t="s">
        <v>273</v>
      </c>
      <c r="H29" s="356"/>
      <c r="I29" s="380"/>
    </row>
    <row r="30" spans="1:11" ht="17.25">
      <c r="C30" s="356"/>
      <c r="D30" s="356"/>
      <c r="E30" s="356"/>
      <c r="F30" s="356"/>
      <c r="G30" s="356"/>
      <c r="H30" s="356"/>
      <c r="I30" s="380"/>
    </row>
    <row r="31" spans="1:11" ht="54.75" customHeight="1">
      <c r="C31" s="456" t="s">
        <v>354</v>
      </c>
      <c r="D31" s="456"/>
      <c r="E31" s="356"/>
      <c r="F31" s="356"/>
      <c r="G31" s="356" t="s">
        <v>361</v>
      </c>
      <c r="H31" s="356"/>
      <c r="I31" s="380"/>
    </row>
    <row r="32" spans="1:11" ht="17.25">
      <c r="C32" s="356"/>
      <c r="D32" s="356"/>
      <c r="E32" s="356"/>
      <c r="F32" s="356"/>
      <c r="G32" s="356"/>
      <c r="H32" s="356"/>
      <c r="I32" s="380"/>
    </row>
  </sheetData>
  <mergeCells count="1">
    <mergeCell ref="C31:D31"/>
  </mergeCells>
  <phoneticPr fontId="0" type="noConversion"/>
  <pageMargins left="0.19685039370078741" right="0.23622047244094491" top="0.23622047244094491" bottom="0.19685039370078741" header="0.19685039370078741" footer="0.19685039370078741"/>
  <pageSetup scale="7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26"/>
  <sheetViews>
    <sheetView zoomScaleNormal="100" workbookViewId="0">
      <selection activeCell="D21" sqref="D21:D22"/>
    </sheetView>
  </sheetViews>
  <sheetFormatPr defaultColWidth="9.140625" defaultRowHeight="13.5"/>
  <cols>
    <col min="1" max="1" width="28" style="1" customWidth="1"/>
    <col min="2" max="2" width="13.7109375" style="1" customWidth="1"/>
    <col min="3" max="3" width="11.28515625" style="1" customWidth="1"/>
    <col min="4" max="4" width="10.5703125" style="1" customWidth="1"/>
    <col min="5" max="5" width="10.7109375" style="1" customWidth="1"/>
    <col min="6" max="6" width="10.42578125" style="1" customWidth="1"/>
    <col min="7" max="7" width="11" style="1" customWidth="1"/>
    <col min="8" max="8" width="12.42578125" style="1" customWidth="1"/>
    <col min="9" max="9" width="9.85546875" style="1" customWidth="1"/>
    <col min="10" max="10" width="9.7109375" style="1" customWidth="1"/>
    <col min="11" max="11" width="24" style="1" customWidth="1"/>
    <col min="12" max="12" width="9.140625" style="1"/>
    <col min="13" max="13" width="10.140625" style="1" bestFit="1" customWidth="1"/>
    <col min="14" max="14" width="9.140625" style="1"/>
    <col min="15" max="15" width="9.28515625" style="1" bestFit="1" customWidth="1"/>
    <col min="16" max="16384" width="9.140625" style="1"/>
  </cols>
  <sheetData>
    <row r="1" spans="1:11">
      <c r="D1" s="1" t="s">
        <v>0</v>
      </c>
    </row>
    <row r="3" spans="1:11" ht="15" thickBot="1">
      <c r="C3" s="2" t="s">
        <v>65</v>
      </c>
    </row>
    <row r="4" spans="1:11" ht="14.25">
      <c r="D4" s="3"/>
    </row>
    <row r="5" spans="1:11" ht="14.25">
      <c r="A5" s="4" t="s">
        <v>96</v>
      </c>
      <c r="B5" s="4"/>
      <c r="C5" s="4"/>
      <c r="D5" s="4"/>
      <c r="E5" s="4"/>
      <c r="F5" s="4"/>
      <c r="G5" s="4"/>
    </row>
    <row r="6" spans="1:11" ht="14.25">
      <c r="A6" s="4"/>
      <c r="B6" s="4"/>
      <c r="C6" s="4"/>
      <c r="D6" s="4"/>
      <c r="E6" s="4"/>
      <c r="F6" s="4"/>
      <c r="G6" s="4"/>
    </row>
    <row r="7" spans="1:11" ht="14.25">
      <c r="A7" s="5" t="s">
        <v>114</v>
      </c>
      <c r="B7" s="6"/>
      <c r="C7" s="6"/>
      <c r="D7" s="6"/>
      <c r="E7" s="6"/>
      <c r="F7" s="6"/>
      <c r="G7" s="6"/>
    </row>
    <row r="8" spans="1:11" ht="14.25">
      <c r="A8" s="5" t="s">
        <v>3</v>
      </c>
      <c r="B8" s="5" t="s">
        <v>115</v>
      </c>
      <c r="C8" s="5"/>
      <c r="D8" s="5"/>
      <c r="E8" s="5"/>
      <c r="F8" s="5" t="s">
        <v>325</v>
      </c>
      <c r="G8" s="5"/>
    </row>
    <row r="9" spans="1:11" ht="12.75" customHeight="1">
      <c r="A9" s="5" t="s">
        <v>4</v>
      </c>
      <c r="B9" s="5" t="s">
        <v>368</v>
      </c>
      <c r="C9" s="5"/>
      <c r="D9" s="5" t="s">
        <v>117</v>
      </c>
      <c r="E9" s="5"/>
      <c r="F9" s="5"/>
      <c r="G9" s="5"/>
    </row>
    <row r="10" spans="1:11" s="9" customFormat="1" ht="14.25">
      <c r="A10" s="3"/>
      <c r="B10" s="3" t="s">
        <v>367</v>
      </c>
      <c r="C10" s="3"/>
      <c r="D10" s="3" t="s">
        <v>270</v>
      </c>
      <c r="E10" s="3"/>
      <c r="F10" s="3"/>
      <c r="G10" s="7"/>
    </row>
    <row r="11" spans="1:11" ht="18" customHeight="1">
      <c r="A11" s="11"/>
      <c r="B11" s="10"/>
    </row>
    <row r="12" spans="1:11" s="9" customFormat="1" ht="117" customHeight="1">
      <c r="A12" s="22"/>
      <c r="B12" s="22"/>
      <c r="C12" s="22"/>
      <c r="D12" s="22" t="s">
        <v>393</v>
      </c>
      <c r="E12" s="31" t="s">
        <v>5</v>
      </c>
      <c r="F12" s="31"/>
      <c r="G12" s="22" t="s">
        <v>377</v>
      </c>
      <c r="H12" s="22" t="s">
        <v>377</v>
      </c>
      <c r="I12" s="34" t="s">
        <v>390</v>
      </c>
      <c r="J12" s="34" t="s">
        <v>394</v>
      </c>
      <c r="K12" s="416" t="s">
        <v>365</v>
      </c>
    </row>
    <row r="13" spans="1:11" s="9" customFormat="1" ht="48" customHeight="1">
      <c r="A13" s="22" t="s">
        <v>6</v>
      </c>
      <c r="B13" s="22" t="s">
        <v>7</v>
      </c>
      <c r="C13" s="22" t="s">
        <v>392</v>
      </c>
      <c r="D13" s="22" t="s">
        <v>8</v>
      </c>
      <c r="E13" s="437" t="s">
        <v>360</v>
      </c>
      <c r="F13" s="437" t="s">
        <v>364</v>
      </c>
      <c r="G13" s="22" t="s">
        <v>9</v>
      </c>
      <c r="H13" s="22" t="s">
        <v>10</v>
      </c>
      <c r="I13" s="22" t="s">
        <v>10</v>
      </c>
      <c r="J13" s="22" t="s">
        <v>10</v>
      </c>
      <c r="K13" s="390" t="s">
        <v>366</v>
      </c>
    </row>
    <row r="14" spans="1:11" s="9" customFormat="1" ht="27" customHeight="1">
      <c r="A14" s="417" t="s">
        <v>11</v>
      </c>
      <c r="B14" s="22" t="s">
        <v>12</v>
      </c>
      <c r="C14" s="22" t="s">
        <v>13</v>
      </c>
      <c r="D14" s="22" t="s">
        <v>14</v>
      </c>
      <c r="E14" s="22" t="s">
        <v>15</v>
      </c>
      <c r="F14" s="22" t="s">
        <v>16</v>
      </c>
      <c r="G14" s="22" t="s">
        <v>17</v>
      </c>
      <c r="H14" s="22" t="s">
        <v>18</v>
      </c>
      <c r="I14" s="22" t="s">
        <v>101</v>
      </c>
      <c r="J14" s="22" t="s">
        <v>102</v>
      </c>
      <c r="K14" s="390" t="s">
        <v>103</v>
      </c>
    </row>
    <row r="15" spans="1:11" s="9" customFormat="1" ht="43.5" customHeight="1">
      <c r="A15" s="8" t="s">
        <v>66</v>
      </c>
      <c r="B15" s="8"/>
      <c r="C15" s="8">
        <v>1</v>
      </c>
      <c r="D15" s="8">
        <v>1</v>
      </c>
      <c r="E15" s="8">
        <v>1</v>
      </c>
      <c r="F15" s="8">
        <v>1</v>
      </c>
      <c r="G15" s="8">
        <v>1</v>
      </c>
      <c r="H15" s="8">
        <v>1</v>
      </c>
      <c r="I15" s="8">
        <v>1</v>
      </c>
      <c r="J15" s="8">
        <v>1</v>
      </c>
      <c r="K15" s="22"/>
    </row>
    <row r="16" spans="1:11" s="9" customFormat="1" ht="18" customHeight="1">
      <c r="A16" s="8" t="s">
        <v>67</v>
      </c>
      <c r="B16" s="8" t="s">
        <v>42</v>
      </c>
      <c r="C16" s="8">
        <f>+'unkndirneri tiv'!J8-120</f>
        <v>795</v>
      </c>
      <c r="D16" s="8">
        <f>+'unkndirneri tiv'!J9-40</f>
        <v>641</v>
      </c>
      <c r="E16" s="8">
        <f>+D16-C16</f>
        <v>-154</v>
      </c>
      <c r="F16" s="8">
        <f>+G16-D16</f>
        <v>4</v>
      </c>
      <c r="G16" s="8">
        <f>+'unkndirneri tiv'!J10-G18</f>
        <v>645</v>
      </c>
      <c r="H16" s="8">
        <f>+G16</f>
        <v>645</v>
      </c>
      <c r="I16" s="8">
        <f>+'unkndirneri tiv'!J11-I18</f>
        <v>645</v>
      </c>
      <c r="J16" s="8">
        <f>+'unkndirneri tiv'!K11-J18</f>
        <v>645</v>
      </c>
      <c r="K16" s="22"/>
    </row>
    <row r="17" spans="1:11" s="9" customFormat="1" ht="45.75" customHeight="1">
      <c r="A17" s="25" t="s">
        <v>100</v>
      </c>
      <c r="B17" s="428" t="s">
        <v>68</v>
      </c>
      <c r="C17" s="302">
        <f>+krtutjunfinans!C11-krtutjunfinans!C14</f>
        <v>248241.6</v>
      </c>
      <c r="D17" s="302">
        <f>+krtutjunfinans!D11-krtutjunfinans!D14</f>
        <v>237537.70000000004</v>
      </c>
      <c r="E17" s="8">
        <f>+D17-C17</f>
        <v>-10703.899999999965</v>
      </c>
      <c r="F17" s="8">
        <f>+G17-D17</f>
        <v>32039.868690672534</v>
      </c>
      <c r="G17" s="302">
        <f>+krtutjunfinans!G11-krtutjunfinans!G14</f>
        <v>269577.56869067258</v>
      </c>
      <c r="H17" s="302">
        <f>+krtutjunfinans!H11-krtutjunfinans!H14</f>
        <v>269577.56869067258</v>
      </c>
      <c r="I17" s="302">
        <f>+krtutjunfinans!I11-krtutjunfinans!I14</f>
        <v>269577.56869067258</v>
      </c>
      <c r="J17" s="302">
        <f>+krtutjunfinans!J11-krtutjunfinans!J14</f>
        <v>269577.56869067258</v>
      </c>
      <c r="K17" s="22" t="s">
        <v>375</v>
      </c>
    </row>
    <row r="18" spans="1:11" s="9" customFormat="1" ht="18" customHeight="1">
      <c r="A18" s="8" t="s">
        <v>67</v>
      </c>
      <c r="B18" s="8" t="s">
        <v>42</v>
      </c>
      <c r="C18" s="8">
        <v>120</v>
      </c>
      <c r="D18" s="8">
        <v>40</v>
      </c>
      <c r="E18" s="8">
        <f>+D18-C18</f>
        <v>-80</v>
      </c>
      <c r="F18" s="8">
        <f>+G18-D18</f>
        <v>20</v>
      </c>
      <c r="G18" s="8">
        <v>60</v>
      </c>
      <c r="H18" s="8">
        <v>60</v>
      </c>
      <c r="I18" s="8">
        <v>60</v>
      </c>
      <c r="J18" s="8">
        <v>60</v>
      </c>
      <c r="K18" s="22"/>
    </row>
    <row r="19" spans="1:11" s="9" customFormat="1" ht="42.75" customHeight="1">
      <c r="A19" s="25" t="s">
        <v>369</v>
      </c>
      <c r="B19" s="428" t="s">
        <v>68</v>
      </c>
      <c r="C19" s="8">
        <v>33256.800000000003</v>
      </c>
      <c r="D19" s="8">
        <v>44444.6</v>
      </c>
      <c r="E19" s="8">
        <f>+D19-C19</f>
        <v>11187.799999999996</v>
      </c>
      <c r="F19" s="8">
        <f>+G19-D19</f>
        <v>22224.400000000001</v>
      </c>
      <c r="G19" s="23">
        <v>66669</v>
      </c>
      <c r="H19" s="23">
        <v>66669</v>
      </c>
      <c r="I19" s="23">
        <v>66669</v>
      </c>
      <c r="J19" s="23">
        <v>66669</v>
      </c>
      <c r="K19" s="22" t="s">
        <v>376</v>
      </c>
    </row>
    <row r="20" spans="1:11" s="9" customFormat="1" ht="18" customHeight="1">
      <c r="A20" s="26"/>
      <c r="B20" s="27"/>
      <c r="C20" s="429"/>
      <c r="D20" s="429"/>
      <c r="E20" s="10"/>
      <c r="F20" s="10"/>
      <c r="G20" s="430"/>
      <c r="H20" s="430"/>
      <c r="I20" s="430"/>
      <c r="J20" s="10"/>
      <c r="K20" s="431"/>
    </row>
    <row r="21" spans="1:11" ht="17.25" customHeight="1">
      <c r="A21" s="12"/>
      <c r="B21" s="356" t="s">
        <v>106</v>
      </c>
      <c r="C21" s="409"/>
      <c r="D21" s="409"/>
      <c r="E21" s="356"/>
      <c r="F21" s="356" t="s">
        <v>273</v>
      </c>
      <c r="G21" s="356"/>
    </row>
    <row r="22" spans="1:11" ht="17.25">
      <c r="B22" s="356"/>
      <c r="C22" s="356"/>
      <c r="D22" s="409"/>
      <c r="E22" s="356"/>
      <c r="F22" s="356"/>
      <c r="G22" s="356"/>
    </row>
    <row r="23" spans="1:11" ht="17.25">
      <c r="A23" s="4"/>
      <c r="B23" s="356"/>
      <c r="C23" s="356"/>
      <c r="D23" s="409"/>
      <c r="E23" s="356"/>
      <c r="F23" s="356"/>
      <c r="G23" s="356"/>
    </row>
    <row r="24" spans="1:11" ht="51" customHeight="1">
      <c r="B24" s="456" t="s">
        <v>354</v>
      </c>
      <c r="C24" s="456"/>
      <c r="D24" s="356"/>
      <c r="E24" s="356"/>
      <c r="F24" s="356" t="s">
        <v>361</v>
      </c>
      <c r="G24" s="356"/>
    </row>
    <row r="26" spans="1:11" ht="17.25">
      <c r="C26" s="356"/>
      <c r="D26" s="356"/>
      <c r="E26" s="356"/>
      <c r="F26" s="356"/>
      <c r="G26" s="356"/>
    </row>
  </sheetData>
  <mergeCells count="1">
    <mergeCell ref="B24:C24"/>
  </mergeCells>
  <phoneticPr fontId="0" type="noConversion"/>
  <pageMargins left="0.19685039370078741" right="0.23622047244094491" top="0.26" bottom="0.35433070866141736" header="0.23622047244094491" footer="0.23622047244094491"/>
  <pageSetup scale="9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44"/>
  <sheetViews>
    <sheetView workbookViewId="0">
      <selection activeCell="D43" sqref="D43:D44"/>
    </sheetView>
  </sheetViews>
  <sheetFormatPr defaultRowHeight="12.75"/>
  <cols>
    <col min="1" max="1" width="5.42578125" customWidth="1"/>
    <col min="2" max="2" width="77.28515625" customWidth="1"/>
    <col min="3" max="3" width="12.7109375" style="434" customWidth="1"/>
    <col min="4" max="4" width="14.28515625" customWidth="1"/>
    <col min="5" max="5" width="15" customWidth="1"/>
    <col min="6" max="6" width="12.85546875" hidden="1" customWidth="1"/>
    <col min="7" max="7" width="12.28515625" hidden="1" customWidth="1"/>
    <col min="8" max="8" width="15.140625" hidden="1" customWidth="1"/>
    <col min="9" max="9" width="9.140625" hidden="1" customWidth="1"/>
    <col min="11" max="12" width="12.28515625" bestFit="1" customWidth="1"/>
    <col min="15" max="15" width="11" customWidth="1"/>
  </cols>
  <sheetData>
    <row r="1" spans="1:12">
      <c r="A1" s="392"/>
      <c r="B1" s="392"/>
      <c r="C1" s="433"/>
      <c r="D1" s="392"/>
      <c r="E1" s="392"/>
    </row>
    <row r="2" spans="1:12" ht="17.25">
      <c r="A2" s="463" t="s">
        <v>104</v>
      </c>
      <c r="B2" s="463"/>
      <c r="C2" s="463"/>
      <c r="D2" s="463"/>
      <c r="E2" s="463"/>
    </row>
    <row r="3" spans="1:12" ht="17.25">
      <c r="A3" s="463" t="s">
        <v>326</v>
      </c>
      <c r="B3" s="463"/>
      <c r="C3" s="463"/>
      <c r="D3" s="463"/>
      <c r="E3" s="463"/>
    </row>
    <row r="4" spans="1:12" ht="13.5" thickBot="1"/>
    <row r="5" spans="1:12" ht="123.75" customHeight="1" thickBot="1">
      <c r="A5" s="393" t="s">
        <v>194</v>
      </c>
      <c r="B5" s="393" t="s">
        <v>105</v>
      </c>
      <c r="C5" s="442" t="s">
        <v>327</v>
      </c>
      <c r="D5" s="422" t="s">
        <v>328</v>
      </c>
      <c r="E5" s="423" t="s">
        <v>111</v>
      </c>
    </row>
    <row r="6" spans="1:12" ht="19.5" customHeight="1">
      <c r="A6" s="394">
        <f>ROW()-9</f>
        <v>-3</v>
      </c>
      <c r="B6" s="395" t="s">
        <v>106</v>
      </c>
      <c r="C6" s="443">
        <v>1</v>
      </c>
      <c r="D6" s="424">
        <v>700000</v>
      </c>
      <c r="E6" s="425">
        <f>SUM(C6*D6)</f>
        <v>700000</v>
      </c>
      <c r="L6" s="398"/>
    </row>
    <row r="7" spans="1:12" ht="19.5" customHeight="1">
      <c r="A7" s="396">
        <f t="shared" ref="A7:A37" si="0">ROW()-9</f>
        <v>-2</v>
      </c>
      <c r="B7" s="397" t="s">
        <v>107</v>
      </c>
      <c r="C7" s="444">
        <v>1</v>
      </c>
      <c r="D7" s="424">
        <v>560000</v>
      </c>
      <c r="E7" s="425">
        <f t="shared" ref="E7:E37" si="1">SUM(C7*D7)</f>
        <v>560000</v>
      </c>
    </row>
    <row r="8" spans="1:12" ht="19.5" customHeight="1">
      <c r="A8" s="394">
        <f t="shared" si="0"/>
        <v>-1</v>
      </c>
      <c r="B8" s="397" t="s">
        <v>329</v>
      </c>
      <c r="C8" s="444">
        <v>1</v>
      </c>
      <c r="D8" s="424">
        <v>510000</v>
      </c>
      <c r="E8" s="425">
        <f t="shared" si="1"/>
        <v>510000</v>
      </c>
    </row>
    <row r="9" spans="1:12" ht="19.5" customHeight="1">
      <c r="A9" s="396">
        <f t="shared" si="0"/>
        <v>0</v>
      </c>
      <c r="B9" s="397" t="s">
        <v>363</v>
      </c>
      <c r="C9" s="444">
        <v>1</v>
      </c>
      <c r="D9" s="424">
        <v>315000</v>
      </c>
      <c r="E9" s="425">
        <f t="shared" si="1"/>
        <v>315000</v>
      </c>
    </row>
    <row r="10" spans="1:12" ht="19.5" customHeight="1">
      <c r="A10" s="394">
        <f t="shared" si="0"/>
        <v>1</v>
      </c>
      <c r="B10" s="397" t="s">
        <v>330</v>
      </c>
      <c r="C10" s="444">
        <v>1</v>
      </c>
      <c r="D10" s="424">
        <v>235000</v>
      </c>
      <c r="E10" s="425">
        <f t="shared" si="1"/>
        <v>235000</v>
      </c>
    </row>
    <row r="11" spans="1:12" ht="19.5" customHeight="1">
      <c r="A11" s="396">
        <f t="shared" si="0"/>
        <v>2</v>
      </c>
      <c r="B11" s="397" t="s">
        <v>331</v>
      </c>
      <c r="C11" s="444">
        <v>1</v>
      </c>
      <c r="D11" s="424">
        <v>455000</v>
      </c>
      <c r="E11" s="425">
        <f t="shared" si="1"/>
        <v>455000</v>
      </c>
    </row>
    <row r="12" spans="1:12" ht="19.5" customHeight="1">
      <c r="A12" s="394">
        <f t="shared" si="0"/>
        <v>3</v>
      </c>
      <c r="B12" s="397" t="s">
        <v>332</v>
      </c>
      <c r="C12" s="444">
        <v>1</v>
      </c>
      <c r="D12" s="424">
        <v>315000</v>
      </c>
      <c r="E12" s="425">
        <f t="shared" si="1"/>
        <v>315000</v>
      </c>
    </row>
    <row r="13" spans="1:12" ht="27">
      <c r="A13" s="396">
        <f t="shared" si="0"/>
        <v>4</v>
      </c>
      <c r="B13" s="397" t="s">
        <v>333</v>
      </c>
      <c r="C13" s="444">
        <v>1</v>
      </c>
      <c r="D13" s="424">
        <v>315000</v>
      </c>
      <c r="E13" s="425">
        <f t="shared" si="1"/>
        <v>315000</v>
      </c>
    </row>
    <row r="14" spans="1:12" ht="27">
      <c r="A14" s="394">
        <f t="shared" si="0"/>
        <v>5</v>
      </c>
      <c r="B14" s="397" t="s">
        <v>334</v>
      </c>
      <c r="C14" s="444">
        <v>1</v>
      </c>
      <c r="D14" s="424">
        <v>315000</v>
      </c>
      <c r="E14" s="425">
        <f t="shared" si="1"/>
        <v>315000</v>
      </c>
    </row>
    <row r="15" spans="1:12" ht="15">
      <c r="A15" s="396">
        <f t="shared" si="0"/>
        <v>6</v>
      </c>
      <c r="B15" s="397" t="s">
        <v>335</v>
      </c>
      <c r="C15" s="444">
        <v>1</v>
      </c>
      <c r="D15" s="424">
        <f>5500+245000</f>
        <v>250500</v>
      </c>
      <c r="E15" s="425">
        <f t="shared" si="1"/>
        <v>250500</v>
      </c>
    </row>
    <row r="16" spans="1:12" ht="27">
      <c r="A16" s="394">
        <f t="shared" si="0"/>
        <v>7</v>
      </c>
      <c r="B16" s="397" t="s">
        <v>336</v>
      </c>
      <c r="C16" s="444">
        <v>1</v>
      </c>
      <c r="D16" s="424">
        <f>5500+245000</f>
        <v>250500</v>
      </c>
      <c r="E16" s="425">
        <f t="shared" si="1"/>
        <v>250500</v>
      </c>
    </row>
    <row r="17" spans="1:11" ht="27">
      <c r="A17" s="396">
        <f t="shared" si="0"/>
        <v>8</v>
      </c>
      <c r="B17" s="397" t="s">
        <v>337</v>
      </c>
      <c r="C17" s="444">
        <v>1</v>
      </c>
      <c r="D17" s="424">
        <f>5500+245000</f>
        <v>250500</v>
      </c>
      <c r="E17" s="425">
        <f t="shared" si="1"/>
        <v>250500</v>
      </c>
    </row>
    <row r="18" spans="1:11" ht="27">
      <c r="A18" s="394">
        <f t="shared" si="0"/>
        <v>9</v>
      </c>
      <c r="B18" s="397" t="s">
        <v>338</v>
      </c>
      <c r="C18" s="444">
        <v>2</v>
      </c>
      <c r="D18" s="424">
        <f>5500+245000</f>
        <v>250500</v>
      </c>
      <c r="E18" s="425">
        <f t="shared" si="1"/>
        <v>501000</v>
      </c>
    </row>
    <row r="19" spans="1:11" ht="15">
      <c r="A19" s="396">
        <f t="shared" si="0"/>
        <v>10</v>
      </c>
      <c r="B19" s="397" t="s">
        <v>339</v>
      </c>
      <c r="C19" s="444">
        <v>1</v>
      </c>
      <c r="D19" s="424">
        <f>5500+195000</f>
        <v>200500</v>
      </c>
      <c r="E19" s="425">
        <f t="shared" si="1"/>
        <v>200500</v>
      </c>
    </row>
    <row r="20" spans="1:11" ht="27">
      <c r="A20" s="394">
        <f t="shared" si="0"/>
        <v>11</v>
      </c>
      <c r="B20" s="397" t="s">
        <v>340</v>
      </c>
      <c r="C20" s="444">
        <v>2</v>
      </c>
      <c r="D20" s="424">
        <f>5500+195000</f>
        <v>200500</v>
      </c>
      <c r="E20" s="425">
        <f t="shared" si="1"/>
        <v>401000</v>
      </c>
    </row>
    <row r="21" spans="1:11" ht="27">
      <c r="A21" s="396">
        <f t="shared" si="0"/>
        <v>12</v>
      </c>
      <c r="B21" s="397" t="s">
        <v>341</v>
      </c>
      <c r="C21" s="444">
        <v>1</v>
      </c>
      <c r="D21" s="424">
        <f>5500+195000</f>
        <v>200500</v>
      </c>
      <c r="E21" s="425">
        <f t="shared" si="1"/>
        <v>200500</v>
      </c>
    </row>
    <row r="22" spans="1:11" ht="27">
      <c r="A22" s="394">
        <f t="shared" si="0"/>
        <v>13</v>
      </c>
      <c r="B22" s="397" t="s">
        <v>342</v>
      </c>
      <c r="C22" s="444">
        <v>1</v>
      </c>
      <c r="D22" s="424">
        <f>5500+195000</f>
        <v>200500</v>
      </c>
      <c r="E22" s="425">
        <f t="shared" si="1"/>
        <v>200500</v>
      </c>
    </row>
    <row r="23" spans="1:11" ht="15">
      <c r="A23" s="396">
        <f t="shared" si="0"/>
        <v>14</v>
      </c>
      <c r="B23" s="397" t="s">
        <v>343</v>
      </c>
      <c r="C23" s="444">
        <v>1</v>
      </c>
      <c r="D23" s="424">
        <v>465000</v>
      </c>
      <c r="E23" s="425">
        <f t="shared" si="1"/>
        <v>465000</v>
      </c>
    </row>
    <row r="24" spans="1:11" ht="15">
      <c r="A24" s="394">
        <f t="shared" si="0"/>
        <v>15</v>
      </c>
      <c r="B24" s="397" t="s">
        <v>344</v>
      </c>
      <c r="C24" s="444">
        <v>1</v>
      </c>
      <c r="D24" s="424">
        <v>355000</v>
      </c>
      <c r="E24" s="425">
        <f t="shared" si="1"/>
        <v>355000</v>
      </c>
    </row>
    <row r="25" spans="1:11" ht="15">
      <c r="A25" s="396">
        <f t="shared" si="0"/>
        <v>16</v>
      </c>
      <c r="B25" s="397" t="s">
        <v>345</v>
      </c>
      <c r="C25" s="444">
        <v>1</v>
      </c>
      <c r="D25" s="424">
        <v>315000</v>
      </c>
      <c r="E25" s="425">
        <f t="shared" si="1"/>
        <v>315000</v>
      </c>
    </row>
    <row r="26" spans="1:11" ht="15">
      <c r="A26" s="394">
        <f t="shared" si="0"/>
        <v>17</v>
      </c>
      <c r="B26" s="397" t="s">
        <v>346</v>
      </c>
      <c r="C26" s="444">
        <v>1</v>
      </c>
      <c r="D26" s="424">
        <v>315000</v>
      </c>
      <c r="E26" s="425">
        <f t="shared" si="1"/>
        <v>315000</v>
      </c>
    </row>
    <row r="27" spans="1:11" ht="15">
      <c r="A27" s="396">
        <f t="shared" si="0"/>
        <v>18</v>
      </c>
      <c r="B27" s="397" t="s">
        <v>347</v>
      </c>
      <c r="C27" s="444">
        <v>1</v>
      </c>
      <c r="D27" s="424">
        <v>280000</v>
      </c>
      <c r="E27" s="425">
        <f t="shared" si="1"/>
        <v>280000</v>
      </c>
    </row>
    <row r="28" spans="1:11" ht="15">
      <c r="A28" s="394">
        <f t="shared" si="0"/>
        <v>19</v>
      </c>
      <c r="B28" s="397" t="s">
        <v>153</v>
      </c>
      <c r="C28" s="444">
        <v>1</v>
      </c>
      <c r="D28" s="424">
        <v>350000</v>
      </c>
      <c r="E28" s="425">
        <f t="shared" si="1"/>
        <v>350000</v>
      </c>
    </row>
    <row r="29" spans="1:11" ht="19.5" customHeight="1">
      <c r="A29" s="396">
        <f t="shared" si="0"/>
        <v>20</v>
      </c>
      <c r="B29" s="397" t="s">
        <v>348</v>
      </c>
      <c r="C29" s="444">
        <v>2</v>
      </c>
      <c r="D29" s="424">
        <f>5500+195000</f>
        <v>200500</v>
      </c>
      <c r="E29" s="425">
        <f t="shared" si="1"/>
        <v>401000</v>
      </c>
    </row>
    <row r="30" spans="1:11" ht="19.5" customHeight="1">
      <c r="A30" s="394">
        <f t="shared" si="0"/>
        <v>21</v>
      </c>
      <c r="B30" s="397" t="s">
        <v>108</v>
      </c>
      <c r="C30" s="444">
        <v>1</v>
      </c>
      <c r="D30" s="424">
        <v>230000</v>
      </c>
      <c r="E30" s="425">
        <f t="shared" si="1"/>
        <v>230000</v>
      </c>
    </row>
    <row r="31" spans="1:11" ht="19.5" customHeight="1">
      <c r="A31" s="396">
        <f t="shared" si="0"/>
        <v>22</v>
      </c>
      <c r="B31" s="397" t="s">
        <v>349</v>
      </c>
      <c r="C31" s="444">
        <v>1</v>
      </c>
      <c r="D31" s="424">
        <v>166000</v>
      </c>
      <c r="E31" s="425">
        <f t="shared" si="1"/>
        <v>166000</v>
      </c>
      <c r="K31" s="398"/>
    </row>
    <row r="32" spans="1:11" ht="29.25" customHeight="1">
      <c r="A32" s="394">
        <f t="shared" si="0"/>
        <v>23</v>
      </c>
      <c r="B32" s="397" t="s">
        <v>350</v>
      </c>
      <c r="C32" s="444">
        <v>1</v>
      </c>
      <c r="D32" s="424">
        <v>166000</v>
      </c>
      <c r="E32" s="425">
        <f t="shared" si="1"/>
        <v>166000</v>
      </c>
    </row>
    <row r="33" spans="1:12" ht="19.5" customHeight="1">
      <c r="A33" s="396">
        <f t="shared" si="0"/>
        <v>24</v>
      </c>
      <c r="B33" s="397" t="s">
        <v>378</v>
      </c>
      <c r="C33" s="444">
        <v>1</v>
      </c>
      <c r="D33" s="424">
        <f>5500+195000</f>
        <v>200500</v>
      </c>
      <c r="E33" s="425">
        <f t="shared" si="1"/>
        <v>200500</v>
      </c>
      <c r="K33" s="398"/>
      <c r="L33" s="398"/>
    </row>
    <row r="34" spans="1:12" ht="19.5" customHeight="1">
      <c r="A34" s="394">
        <f t="shared" si="0"/>
        <v>25</v>
      </c>
      <c r="B34" s="397" t="s">
        <v>351</v>
      </c>
      <c r="C34" s="444">
        <v>1</v>
      </c>
      <c r="D34" s="424">
        <v>195000</v>
      </c>
      <c r="E34" s="425">
        <f t="shared" si="1"/>
        <v>195000</v>
      </c>
    </row>
    <row r="35" spans="1:12" ht="24" customHeight="1">
      <c r="A35" s="396">
        <f t="shared" si="0"/>
        <v>26</v>
      </c>
      <c r="B35" s="397" t="s">
        <v>109</v>
      </c>
      <c r="C35" s="444">
        <v>1</v>
      </c>
      <c r="D35" s="424">
        <v>195000</v>
      </c>
      <c r="E35" s="425">
        <f t="shared" si="1"/>
        <v>195000</v>
      </c>
    </row>
    <row r="36" spans="1:12" ht="19.5" customHeight="1">
      <c r="A36" s="394">
        <f t="shared" si="0"/>
        <v>27</v>
      </c>
      <c r="B36" s="397" t="s">
        <v>352</v>
      </c>
      <c r="C36" s="444">
        <v>1</v>
      </c>
      <c r="D36" s="424">
        <f>1500+235000</f>
        <v>236500</v>
      </c>
      <c r="E36" s="425">
        <f t="shared" si="1"/>
        <v>236500</v>
      </c>
    </row>
    <row r="37" spans="1:12" ht="19.5" customHeight="1" thickBot="1">
      <c r="A37" s="396">
        <f t="shared" si="0"/>
        <v>28</v>
      </c>
      <c r="B37" s="399" t="s">
        <v>110</v>
      </c>
      <c r="C37" s="445">
        <v>4</v>
      </c>
      <c r="D37" s="424">
        <v>115000</v>
      </c>
      <c r="E37" s="425">
        <f t="shared" si="1"/>
        <v>460000</v>
      </c>
    </row>
    <row r="38" spans="1:12" ht="19.5" customHeight="1" thickBot="1">
      <c r="A38" s="461" t="s">
        <v>353</v>
      </c>
      <c r="B38" s="462"/>
      <c r="C38" s="435">
        <f>SUM(C6:C37)</f>
        <v>38</v>
      </c>
      <c r="D38" s="426"/>
      <c r="E38" s="427">
        <f>SUM(E6:E37)</f>
        <v>10305000</v>
      </c>
    </row>
    <row r="39" spans="1:12" ht="19.5" customHeight="1"/>
    <row r="40" spans="1:12" ht="15.75" customHeight="1">
      <c r="E40" s="398"/>
    </row>
    <row r="41" spans="1:12">
      <c r="E41" s="398"/>
    </row>
    <row r="44" spans="1:12" ht="39.75" customHeight="1"/>
  </sheetData>
  <autoFilter ref="A5:L38"/>
  <mergeCells count="3">
    <mergeCell ref="A38:B38"/>
    <mergeCell ref="A2:E2"/>
    <mergeCell ref="A3:E3"/>
  </mergeCells>
  <pageMargins left="0.33" right="0.21" top="0.21" bottom="0.3" header="0.2" footer="0.3"/>
  <pageSetup paperSize="9" scale="75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49"/>
  <sheetViews>
    <sheetView workbookViewId="0">
      <selection activeCell="A40" sqref="A40:D40"/>
    </sheetView>
  </sheetViews>
  <sheetFormatPr defaultRowHeight="12.75"/>
  <cols>
    <col min="1" max="1" width="5.42578125" customWidth="1"/>
    <col min="2" max="2" width="42.7109375" customWidth="1"/>
    <col min="4" max="4" width="13" customWidth="1"/>
    <col min="5" max="5" width="11.5703125" customWidth="1"/>
    <col min="6" max="6" width="10.5703125" customWidth="1"/>
    <col min="7" max="7" width="10.5703125" bestFit="1" customWidth="1"/>
  </cols>
  <sheetData>
    <row r="1" spans="1:6" ht="17.25" customHeight="1">
      <c r="A1" s="465" t="s">
        <v>142</v>
      </c>
      <c r="B1" s="465"/>
      <c r="C1" s="465"/>
      <c r="D1" s="465"/>
      <c r="E1" s="465"/>
      <c r="F1" s="465"/>
    </row>
    <row r="2" spans="1:6" ht="15">
      <c r="B2" s="43"/>
      <c r="C2" s="43"/>
      <c r="D2" s="43"/>
      <c r="E2" s="43"/>
      <c r="F2" s="43"/>
    </row>
    <row r="3" spans="1:6" ht="15" hidden="1">
      <c r="B3" s="43"/>
      <c r="C3" s="43"/>
      <c r="D3" s="43"/>
      <c r="E3" s="43"/>
      <c r="F3" s="43"/>
    </row>
    <row r="4" spans="1:6" hidden="1"/>
    <row r="5" spans="1:6" ht="15" hidden="1">
      <c r="B5" s="43"/>
      <c r="C5" s="43"/>
      <c r="D5" s="43"/>
      <c r="E5" s="43"/>
      <c r="F5" s="43"/>
    </row>
    <row r="6" spans="1:6" ht="15">
      <c r="B6" s="43"/>
      <c r="C6" s="43"/>
      <c r="D6" s="43"/>
      <c r="E6" s="43"/>
      <c r="F6" s="43"/>
    </row>
    <row r="7" spans="1:6" ht="15">
      <c r="A7" s="41"/>
      <c r="B7" s="466" t="s">
        <v>395</v>
      </c>
      <c r="C7" s="466"/>
      <c r="D7" s="466"/>
      <c r="E7" s="466"/>
      <c r="F7" s="466"/>
    </row>
    <row r="8" spans="1:6">
      <c r="A8" s="41" t="s">
        <v>119</v>
      </c>
      <c r="B8" s="42" t="s">
        <v>120</v>
      </c>
      <c r="C8" s="42" t="s">
        <v>121</v>
      </c>
      <c r="D8" s="42" t="s">
        <v>123</v>
      </c>
      <c r="E8" s="42" t="s">
        <v>122</v>
      </c>
      <c r="F8" s="42" t="s">
        <v>111</v>
      </c>
    </row>
    <row r="9" spans="1:6">
      <c r="A9" s="41">
        <v>1</v>
      </c>
      <c r="B9" s="49" t="s">
        <v>288</v>
      </c>
      <c r="C9" s="45" t="s">
        <v>124</v>
      </c>
      <c r="D9" s="48">
        <v>800</v>
      </c>
      <c r="E9" s="46">
        <v>100</v>
      </c>
      <c r="F9" s="47">
        <f t="shared" ref="F9:F26" si="0">+E9*D9</f>
        <v>80000</v>
      </c>
    </row>
    <row r="10" spans="1:6">
      <c r="A10" s="41">
        <v>2</v>
      </c>
      <c r="B10" s="49" t="s">
        <v>289</v>
      </c>
      <c r="C10" s="45" t="s">
        <v>124</v>
      </c>
      <c r="D10" s="48">
        <v>600</v>
      </c>
      <c r="E10" s="46">
        <v>100</v>
      </c>
      <c r="F10" s="47">
        <f t="shared" si="0"/>
        <v>60000</v>
      </c>
    </row>
    <row r="11" spans="1:6">
      <c r="A11" s="41">
        <v>3</v>
      </c>
      <c r="B11" s="49" t="s">
        <v>145</v>
      </c>
      <c r="C11" s="45" t="s">
        <v>124</v>
      </c>
      <c r="D11" s="48">
        <v>50</v>
      </c>
      <c r="E11" s="46">
        <v>400</v>
      </c>
      <c r="F11" s="47">
        <f t="shared" si="0"/>
        <v>20000</v>
      </c>
    </row>
    <row r="12" spans="1:6">
      <c r="A12" s="41">
        <v>4</v>
      </c>
      <c r="B12" s="49" t="s">
        <v>290</v>
      </c>
      <c r="C12" s="45" t="s">
        <v>124</v>
      </c>
      <c r="D12" s="48">
        <v>60</v>
      </c>
      <c r="E12" s="46">
        <v>250</v>
      </c>
      <c r="F12" s="47">
        <f t="shared" si="0"/>
        <v>15000</v>
      </c>
    </row>
    <row r="13" spans="1:6">
      <c r="A13" s="41">
        <v>5</v>
      </c>
      <c r="B13" s="49" t="s">
        <v>291</v>
      </c>
      <c r="C13" s="45" t="s">
        <v>124</v>
      </c>
      <c r="D13" s="48">
        <v>60</v>
      </c>
      <c r="E13" s="46">
        <v>350</v>
      </c>
      <c r="F13" s="47">
        <f t="shared" si="0"/>
        <v>21000</v>
      </c>
    </row>
    <row r="14" spans="1:6">
      <c r="A14" s="41">
        <v>6</v>
      </c>
      <c r="B14" s="49" t="s">
        <v>292</v>
      </c>
      <c r="C14" s="45" t="s">
        <v>124</v>
      </c>
      <c r="D14" s="48">
        <v>40</v>
      </c>
      <c r="E14" s="46">
        <v>800</v>
      </c>
      <c r="F14" s="47">
        <f t="shared" si="0"/>
        <v>32000</v>
      </c>
    </row>
    <row r="15" spans="1:6">
      <c r="A15" s="41">
        <v>7</v>
      </c>
      <c r="B15" s="49" t="s">
        <v>148</v>
      </c>
      <c r="C15" s="45" t="s">
        <v>124</v>
      </c>
      <c r="D15" s="46">
        <v>5</v>
      </c>
      <c r="E15" s="46">
        <v>700</v>
      </c>
      <c r="F15" s="47">
        <f t="shared" si="0"/>
        <v>3500</v>
      </c>
    </row>
    <row r="16" spans="1:6">
      <c r="A16" s="41">
        <v>8</v>
      </c>
      <c r="B16" s="49" t="s">
        <v>293</v>
      </c>
      <c r="C16" s="45" t="s">
        <v>124</v>
      </c>
      <c r="D16" s="46">
        <v>80</v>
      </c>
      <c r="E16" s="46">
        <v>250</v>
      </c>
      <c r="F16" s="47">
        <f t="shared" si="0"/>
        <v>20000</v>
      </c>
    </row>
    <row r="17" spans="1:6">
      <c r="A17" s="41">
        <v>9</v>
      </c>
      <c r="B17" s="49" t="s">
        <v>294</v>
      </c>
      <c r="C17" s="45" t="s">
        <v>124</v>
      </c>
      <c r="D17" s="46">
        <v>25</v>
      </c>
      <c r="E17" s="46">
        <v>500</v>
      </c>
      <c r="F17" s="47">
        <f t="shared" si="0"/>
        <v>12500</v>
      </c>
    </row>
    <row r="18" spans="1:6">
      <c r="A18" s="41">
        <v>10</v>
      </c>
      <c r="B18" s="49" t="s">
        <v>143</v>
      </c>
      <c r="C18" s="45" t="s">
        <v>124</v>
      </c>
      <c r="D18" s="46">
        <v>50</v>
      </c>
      <c r="E18" s="46">
        <v>300</v>
      </c>
      <c r="F18" s="47">
        <f t="shared" si="0"/>
        <v>15000</v>
      </c>
    </row>
    <row r="19" spans="1:6">
      <c r="A19" s="41">
        <v>11</v>
      </c>
      <c r="B19" s="49" t="s">
        <v>295</v>
      </c>
      <c r="C19" s="45" t="s">
        <v>124</v>
      </c>
      <c r="D19" s="46">
        <v>6000</v>
      </c>
      <c r="E19" s="46">
        <v>15</v>
      </c>
      <c r="F19" s="47">
        <f t="shared" si="0"/>
        <v>90000</v>
      </c>
    </row>
    <row r="20" spans="1:6">
      <c r="A20" s="41">
        <v>12</v>
      </c>
      <c r="B20" s="49" t="s">
        <v>388</v>
      </c>
      <c r="C20" s="45" t="s">
        <v>124</v>
      </c>
      <c r="D20" s="46">
        <v>80</v>
      </c>
      <c r="E20" s="46">
        <v>300</v>
      </c>
      <c r="F20" s="47">
        <f t="shared" si="0"/>
        <v>24000</v>
      </c>
    </row>
    <row r="21" spans="1:6">
      <c r="A21" s="41">
        <v>13</v>
      </c>
      <c r="B21" s="49" t="s">
        <v>149</v>
      </c>
      <c r="C21" s="45" t="s">
        <v>124</v>
      </c>
      <c r="D21" s="46">
        <v>120</v>
      </c>
      <c r="E21" s="46">
        <v>600</v>
      </c>
      <c r="F21" s="47">
        <f t="shared" si="0"/>
        <v>72000</v>
      </c>
    </row>
    <row r="22" spans="1:6">
      <c r="A22" s="41">
        <v>14</v>
      </c>
      <c r="B22" s="49" t="s">
        <v>146</v>
      </c>
      <c r="C22" s="45" t="s">
        <v>124</v>
      </c>
      <c r="D22" s="46">
        <v>130</v>
      </c>
      <c r="E22" s="46">
        <v>350</v>
      </c>
      <c r="F22" s="47">
        <f t="shared" si="0"/>
        <v>45500</v>
      </c>
    </row>
    <row r="23" spans="1:6" ht="14.25">
      <c r="A23" s="41">
        <v>15</v>
      </c>
      <c r="B23" s="61" t="s">
        <v>296</v>
      </c>
      <c r="C23" s="45" t="s">
        <v>298</v>
      </c>
      <c r="D23" s="46">
        <v>100</v>
      </c>
      <c r="E23" s="46">
        <v>150</v>
      </c>
      <c r="F23" s="47">
        <f t="shared" si="0"/>
        <v>15000</v>
      </c>
    </row>
    <row r="24" spans="1:6">
      <c r="A24" s="41">
        <v>16</v>
      </c>
      <c r="B24" s="49" t="s">
        <v>297</v>
      </c>
      <c r="C24" s="45" t="s">
        <v>124</v>
      </c>
      <c r="D24" s="46">
        <v>200</v>
      </c>
      <c r="E24" s="46">
        <v>350</v>
      </c>
      <c r="F24" s="47">
        <f t="shared" si="0"/>
        <v>70000</v>
      </c>
    </row>
    <row r="25" spans="1:6" ht="14.25">
      <c r="A25" s="41">
        <v>17</v>
      </c>
      <c r="B25" s="61" t="s">
        <v>310</v>
      </c>
      <c r="C25" s="45" t="s">
        <v>124</v>
      </c>
      <c r="D25" s="46">
        <v>100</v>
      </c>
      <c r="E25" s="46">
        <v>1500</v>
      </c>
      <c r="F25" s="47">
        <f t="shared" si="0"/>
        <v>150000</v>
      </c>
    </row>
    <row r="26" spans="1:6" ht="14.25">
      <c r="A26" s="41">
        <v>18</v>
      </c>
      <c r="B26" s="61" t="s">
        <v>311</v>
      </c>
      <c r="C26" s="45" t="s">
        <v>124</v>
      </c>
      <c r="D26" s="46">
        <v>250</v>
      </c>
      <c r="E26" s="46">
        <v>300</v>
      </c>
      <c r="F26" s="47">
        <f t="shared" si="0"/>
        <v>75000</v>
      </c>
    </row>
    <row r="27" spans="1:6" ht="15">
      <c r="A27" s="466" t="s">
        <v>299</v>
      </c>
      <c r="B27" s="466"/>
      <c r="C27" s="466"/>
      <c r="D27" s="466"/>
      <c r="E27" s="466"/>
      <c r="F27" s="379"/>
    </row>
    <row r="28" spans="1:6" ht="14.25">
      <c r="A28" s="41">
        <v>1</v>
      </c>
      <c r="B28" s="61" t="s">
        <v>300</v>
      </c>
      <c r="C28" s="45" t="s">
        <v>124</v>
      </c>
      <c r="D28" s="46">
        <v>10</v>
      </c>
      <c r="E28" s="46">
        <v>2500</v>
      </c>
      <c r="F28" s="47">
        <f>+E28*D28</f>
        <v>25000</v>
      </c>
    </row>
    <row r="29" spans="1:6" ht="14.25">
      <c r="A29" s="41">
        <v>2</v>
      </c>
      <c r="B29" s="61" t="s">
        <v>301</v>
      </c>
      <c r="C29" s="45" t="s">
        <v>147</v>
      </c>
      <c r="D29" s="46">
        <v>40</v>
      </c>
      <c r="E29" s="46">
        <v>880</v>
      </c>
      <c r="F29" s="47">
        <f>+E29*D29</f>
        <v>35200</v>
      </c>
    </row>
    <row r="30" spans="1:6">
      <c r="A30" s="41">
        <v>3</v>
      </c>
      <c r="B30" s="49" t="s">
        <v>302</v>
      </c>
      <c r="C30" s="45" t="s">
        <v>124</v>
      </c>
      <c r="D30" s="48">
        <v>10</v>
      </c>
      <c r="E30" s="46">
        <v>1000</v>
      </c>
      <c r="F30" s="47">
        <f>+E30*D30</f>
        <v>10000</v>
      </c>
    </row>
    <row r="31" spans="1:6">
      <c r="A31" s="41">
        <v>4</v>
      </c>
      <c r="B31" s="49" t="s">
        <v>303</v>
      </c>
      <c r="C31" s="45" t="s">
        <v>124</v>
      </c>
      <c r="D31" s="48">
        <v>10</v>
      </c>
      <c r="E31" s="46">
        <v>4200</v>
      </c>
      <c r="F31" s="47">
        <f>+E31*D31</f>
        <v>42000</v>
      </c>
    </row>
    <row r="32" spans="1:6">
      <c r="A32" s="41">
        <v>5</v>
      </c>
      <c r="B32" s="49" t="s">
        <v>304</v>
      </c>
      <c r="C32" s="45" t="s">
        <v>124</v>
      </c>
      <c r="D32" s="48">
        <v>10</v>
      </c>
      <c r="E32" s="46">
        <v>3000</v>
      </c>
      <c r="F32" s="47">
        <f>+E32*D32</f>
        <v>30000</v>
      </c>
    </row>
    <row r="33" spans="1:17" ht="15">
      <c r="A33" s="466" t="s">
        <v>305</v>
      </c>
      <c r="B33" s="466"/>
      <c r="C33" s="466"/>
      <c r="D33" s="466"/>
      <c r="E33" s="466"/>
      <c r="F33" s="379"/>
    </row>
    <row r="34" spans="1:17">
      <c r="A34" s="41">
        <v>1</v>
      </c>
      <c r="B34" s="49" t="s">
        <v>306</v>
      </c>
      <c r="C34" s="45" t="s">
        <v>124</v>
      </c>
      <c r="D34" s="46">
        <v>10</v>
      </c>
      <c r="E34" s="46">
        <v>3000</v>
      </c>
      <c r="F34" s="47">
        <f t="shared" ref="F34:F39" si="1">+E34*D34</f>
        <v>30000</v>
      </c>
    </row>
    <row r="35" spans="1:17">
      <c r="A35" s="41">
        <v>2</v>
      </c>
      <c r="B35" s="49" t="s">
        <v>307</v>
      </c>
      <c r="C35" s="45" t="s">
        <v>124</v>
      </c>
      <c r="D35" s="46">
        <v>120</v>
      </c>
      <c r="E35" s="46">
        <v>190</v>
      </c>
      <c r="F35" s="47">
        <f t="shared" si="1"/>
        <v>22800</v>
      </c>
      <c r="J35" s="52"/>
      <c r="K35" s="52"/>
      <c r="L35" s="52"/>
      <c r="M35" s="52"/>
      <c r="N35" s="52"/>
      <c r="O35" s="52"/>
      <c r="P35" s="52"/>
      <c r="Q35" s="52"/>
    </row>
    <row r="36" spans="1:17" ht="15">
      <c r="A36" s="41">
        <v>3</v>
      </c>
      <c r="B36" s="49" t="s">
        <v>308</v>
      </c>
      <c r="C36" s="45" t="s">
        <v>124</v>
      </c>
      <c r="D36" s="46">
        <v>100</v>
      </c>
      <c r="E36" s="46">
        <v>240</v>
      </c>
      <c r="F36" s="47">
        <f t="shared" si="1"/>
        <v>24000</v>
      </c>
      <c r="J36" s="52"/>
      <c r="K36" s="464"/>
      <c r="L36" s="464"/>
      <c r="M36" s="464"/>
      <c r="N36" s="464"/>
      <c r="O36" s="464"/>
      <c r="P36" s="400"/>
      <c r="Q36" s="52"/>
    </row>
    <row r="37" spans="1:17">
      <c r="A37" s="41">
        <v>4</v>
      </c>
      <c r="B37" s="49" t="s">
        <v>309</v>
      </c>
      <c r="C37" s="45" t="s">
        <v>124</v>
      </c>
      <c r="D37" s="48">
        <v>20</v>
      </c>
      <c r="E37" s="46">
        <v>350</v>
      </c>
      <c r="F37" s="47">
        <f t="shared" si="1"/>
        <v>7000</v>
      </c>
      <c r="J37" s="52"/>
      <c r="K37" s="52"/>
      <c r="L37" s="52"/>
      <c r="M37" s="52"/>
      <c r="N37" s="52"/>
      <c r="O37" s="52"/>
      <c r="P37" s="52"/>
      <c r="Q37" s="52"/>
    </row>
    <row r="38" spans="1:17">
      <c r="A38" s="41">
        <v>5</v>
      </c>
      <c r="B38" s="49" t="s">
        <v>389</v>
      </c>
      <c r="C38" s="45" t="s">
        <v>124</v>
      </c>
      <c r="D38" s="48">
        <v>50</v>
      </c>
      <c r="E38" s="46">
        <v>2000</v>
      </c>
      <c r="F38" s="47">
        <f t="shared" si="1"/>
        <v>100000</v>
      </c>
      <c r="J38" s="52"/>
      <c r="K38" s="52"/>
      <c r="L38" s="52"/>
      <c r="M38" s="52"/>
      <c r="N38" s="52"/>
      <c r="O38" s="52"/>
      <c r="P38" s="52"/>
      <c r="Q38" s="52"/>
    </row>
    <row r="39" spans="1:17">
      <c r="A39" s="41">
        <v>6</v>
      </c>
      <c r="B39" s="49" t="s">
        <v>312</v>
      </c>
      <c r="C39" s="45" t="s">
        <v>124</v>
      </c>
      <c r="D39" s="48">
        <v>10</v>
      </c>
      <c r="E39" s="46">
        <v>5000</v>
      </c>
      <c r="F39" s="47">
        <f t="shared" si="1"/>
        <v>50000</v>
      </c>
      <c r="J39" s="52"/>
      <c r="K39" s="52"/>
      <c r="L39" s="52"/>
      <c r="M39" s="52"/>
      <c r="N39" s="52"/>
      <c r="O39" s="52"/>
      <c r="P39" s="52"/>
      <c r="Q39" s="52"/>
    </row>
    <row r="40" spans="1:17">
      <c r="A40" s="467" t="s">
        <v>111</v>
      </c>
      <c r="B40" s="468"/>
      <c r="C40" s="468"/>
      <c r="D40" s="469"/>
      <c r="E40" s="41"/>
      <c r="F40" s="41">
        <f>SUM(F9:F39)</f>
        <v>1196500</v>
      </c>
    </row>
    <row r="45" spans="1:17" ht="13.5">
      <c r="B45" s="1" t="s">
        <v>106</v>
      </c>
      <c r="C45" s="1"/>
      <c r="D45" s="1"/>
      <c r="E45" s="1" t="s">
        <v>273</v>
      </c>
    </row>
    <row r="46" spans="1:17" ht="13.5">
      <c r="B46" s="1"/>
      <c r="C46" s="1"/>
      <c r="D46" s="1"/>
      <c r="E46" s="1"/>
    </row>
    <row r="47" spans="1:17" ht="13.5">
      <c r="B47" s="1"/>
      <c r="C47" s="1"/>
      <c r="D47" s="1"/>
      <c r="E47" s="1"/>
    </row>
    <row r="48" spans="1:17" ht="13.5">
      <c r="B48" s="401" t="s">
        <v>354</v>
      </c>
      <c r="C48" s="1"/>
      <c r="D48" s="1"/>
      <c r="E48" s="401" t="s">
        <v>361</v>
      </c>
    </row>
    <row r="49" spans="7:7">
      <c r="G49" s="418"/>
    </row>
  </sheetData>
  <mergeCells count="6">
    <mergeCell ref="K36:O36"/>
    <mergeCell ref="A1:F1"/>
    <mergeCell ref="B7:F7"/>
    <mergeCell ref="A40:D40"/>
    <mergeCell ref="A27:E27"/>
    <mergeCell ref="A33:E33"/>
  </mergeCells>
  <pageMargins left="0.5" right="0.21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21"/>
  <sheetViews>
    <sheetView workbookViewId="0">
      <selection activeCell="I10" sqref="I10"/>
    </sheetView>
  </sheetViews>
  <sheetFormatPr defaultColWidth="9.140625" defaultRowHeight="13.5"/>
  <cols>
    <col min="1" max="6" width="9.140625" style="101"/>
    <col min="7" max="16384" width="9.140625" style="102"/>
  </cols>
  <sheetData>
    <row r="1" spans="1:17" s="62" customFormat="1" ht="14.25">
      <c r="B1" s="63"/>
      <c r="C1" s="64"/>
      <c r="D1" s="65"/>
      <c r="E1" s="65"/>
      <c r="F1" s="65"/>
      <c r="G1" s="65"/>
      <c r="H1" s="66"/>
    </row>
    <row r="2" spans="1:17" s="1" customFormat="1" ht="13.5" customHeight="1">
      <c r="A2" s="67"/>
      <c r="B2" s="470" t="s">
        <v>150</v>
      </c>
      <c r="C2" s="471"/>
      <c r="D2" s="471"/>
      <c r="E2" s="471"/>
      <c r="F2" s="471"/>
      <c r="G2" s="471"/>
      <c r="H2" s="471"/>
    </row>
    <row r="3" spans="1:17" s="1" customFormat="1" ht="27.75" customHeight="1">
      <c r="A3" s="68"/>
      <c r="B3" s="69" t="s">
        <v>396</v>
      </c>
      <c r="C3" s="70"/>
      <c r="D3" s="70"/>
      <c r="E3" s="70"/>
      <c r="F3" s="70"/>
      <c r="G3" s="70"/>
      <c r="H3" s="70"/>
    </row>
    <row r="4" spans="1:17" s="73" customFormat="1">
      <c r="A4" s="71"/>
      <c r="B4" s="72"/>
      <c r="C4" s="72"/>
      <c r="D4" s="72"/>
      <c r="E4" s="72"/>
      <c r="F4" s="72"/>
      <c r="G4" s="72"/>
      <c r="H4" s="72"/>
    </row>
    <row r="5" spans="1:17" s="77" customFormat="1" ht="105">
      <c r="A5" s="74"/>
      <c r="B5" s="75" t="s">
        <v>154</v>
      </c>
      <c r="C5" s="75" t="s">
        <v>385</v>
      </c>
      <c r="D5" s="76" t="s">
        <v>155</v>
      </c>
      <c r="E5" s="76" t="s">
        <v>156</v>
      </c>
      <c r="F5" s="76" t="s">
        <v>157</v>
      </c>
      <c r="G5" s="76" t="s">
        <v>158</v>
      </c>
      <c r="H5" s="76" t="s">
        <v>159</v>
      </c>
      <c r="I5" s="76" t="s">
        <v>160</v>
      </c>
      <c r="K5" s="78"/>
      <c r="L5" s="78"/>
      <c r="M5" s="78"/>
    </row>
    <row r="6" spans="1:17" s="77" customFormat="1">
      <c r="A6" s="79">
        <v>1</v>
      </c>
      <c r="B6" s="80">
        <v>2</v>
      </c>
      <c r="C6" s="79">
        <v>3</v>
      </c>
      <c r="D6" s="80">
        <v>4</v>
      </c>
      <c r="E6" s="79">
        <v>5</v>
      </c>
      <c r="F6" s="80">
        <v>6</v>
      </c>
      <c r="G6" s="79">
        <v>7</v>
      </c>
      <c r="H6" s="80">
        <v>8</v>
      </c>
      <c r="I6" s="79">
        <v>9</v>
      </c>
      <c r="K6" s="78">
        <f>4*2</f>
        <v>8</v>
      </c>
      <c r="L6" s="78"/>
      <c r="M6" s="78"/>
    </row>
    <row r="7" spans="1:17" s="77" customFormat="1">
      <c r="A7" s="81">
        <v>1</v>
      </c>
      <c r="B7" s="344"/>
      <c r="C7" s="82">
        <f>+'[1]luys, energia'!F10</f>
        <v>2571.1999999999998</v>
      </c>
      <c r="D7" s="83">
        <v>350</v>
      </c>
      <c r="E7" s="82">
        <v>38</v>
      </c>
      <c r="F7" s="84">
        <f>366-118</f>
        <v>248</v>
      </c>
      <c r="G7" s="85">
        <v>180</v>
      </c>
      <c r="H7" s="86">
        <f>30/1000</f>
        <v>0.03</v>
      </c>
      <c r="I7" s="87">
        <f>(E7+D7/0.8)*F7*G7*H7/1000</f>
        <v>636.78959999999995</v>
      </c>
      <c r="K7" s="78">
        <f>+K6*12</f>
        <v>96</v>
      </c>
      <c r="L7" s="78"/>
      <c r="M7" s="78"/>
    </row>
    <row r="8" spans="1:17" s="77" customFormat="1">
      <c r="A8" s="81">
        <v>2</v>
      </c>
      <c r="B8" s="344"/>
      <c r="C8" s="88"/>
      <c r="D8" s="83"/>
      <c r="E8" s="82"/>
      <c r="F8" s="84"/>
      <c r="G8" s="85"/>
      <c r="H8" s="86"/>
      <c r="I8" s="87"/>
      <c r="K8" s="89"/>
      <c r="L8" s="89"/>
      <c r="M8" s="89"/>
      <c r="N8" s="90"/>
      <c r="O8" s="90"/>
      <c r="P8" s="90"/>
      <c r="Q8" s="90"/>
    </row>
    <row r="9" spans="1:17" s="77" customFormat="1">
      <c r="A9" s="345">
        <v>3</v>
      </c>
      <c r="B9" s="344"/>
      <c r="C9" s="88"/>
      <c r="D9" s="346"/>
      <c r="E9" s="84"/>
      <c r="F9" s="84"/>
      <c r="G9" s="345"/>
      <c r="H9" s="345"/>
      <c r="I9" s="87"/>
      <c r="K9" s="89">
        <f>365-K7</f>
        <v>269</v>
      </c>
      <c r="L9" s="89"/>
      <c r="M9" s="89"/>
      <c r="N9" s="90"/>
      <c r="O9" s="90"/>
      <c r="P9" s="90"/>
      <c r="Q9" s="90"/>
    </row>
    <row r="10" spans="1:17" s="77" customFormat="1">
      <c r="A10" s="472" t="s">
        <v>269</v>
      </c>
      <c r="B10" s="473"/>
      <c r="C10" s="473"/>
      <c r="D10" s="473"/>
      <c r="E10" s="473"/>
      <c r="F10" s="473"/>
      <c r="G10" s="473"/>
      <c r="H10" s="474"/>
      <c r="I10" s="347">
        <v>300</v>
      </c>
      <c r="K10" s="89"/>
      <c r="L10" s="91"/>
      <c r="M10" s="92"/>
      <c r="N10" s="93"/>
      <c r="O10" s="94"/>
      <c r="P10" s="95"/>
      <c r="Q10" s="95"/>
    </row>
    <row r="11" spans="1:17" s="77" customFormat="1">
      <c r="A11" s="79"/>
      <c r="B11" s="413" t="s">
        <v>161</v>
      </c>
      <c r="C11" s="96">
        <f>SUM(C7:C7)</f>
        <v>2571.1999999999998</v>
      </c>
      <c r="D11" s="97">
        <f>SUM(D7:D7)</f>
        <v>350</v>
      </c>
      <c r="E11" s="98">
        <f>SUM(E7:E7)</f>
        <v>38</v>
      </c>
      <c r="F11" s="96" t="s">
        <v>162</v>
      </c>
      <c r="G11" s="96" t="s">
        <v>162</v>
      </c>
      <c r="H11" s="96" t="s">
        <v>162</v>
      </c>
      <c r="I11" s="99">
        <f>SUM(I7:I10)</f>
        <v>936.78959999999995</v>
      </c>
      <c r="K11" s="348"/>
      <c r="L11" s="89"/>
      <c r="M11" s="89"/>
      <c r="N11" s="90"/>
      <c r="O11" s="90"/>
      <c r="P11" s="90"/>
      <c r="Q11" s="90"/>
    </row>
    <row r="12" spans="1:17" s="77" customFormat="1">
      <c r="A12" s="100"/>
      <c r="B12" s="100"/>
      <c r="C12" s="100"/>
      <c r="D12" s="100"/>
      <c r="E12" s="100"/>
      <c r="F12" s="100"/>
      <c r="G12" s="100"/>
      <c r="H12" s="100"/>
      <c r="I12" s="100"/>
      <c r="K12" s="78"/>
      <c r="L12" s="78">
        <f>+L11*2</f>
        <v>0</v>
      </c>
      <c r="M12" s="78"/>
    </row>
    <row r="13" spans="1:17">
      <c r="K13" s="103"/>
      <c r="L13" s="103">
        <f>48*2</f>
        <v>96</v>
      </c>
      <c r="M13" s="103"/>
    </row>
    <row r="17" spans="1:9" ht="16.5">
      <c r="A17" s="411"/>
      <c r="B17" s="411"/>
      <c r="C17" s="411"/>
      <c r="D17" s="411"/>
      <c r="E17" s="411"/>
      <c r="F17" s="411"/>
      <c r="G17" s="412"/>
      <c r="H17" s="412"/>
      <c r="I17" s="412"/>
    </row>
    <row r="18" spans="1:9" ht="16.5">
      <c r="A18" s="411"/>
      <c r="B18" s="411"/>
      <c r="C18" s="104"/>
      <c r="D18" s="104"/>
      <c r="E18" s="104" t="s">
        <v>106</v>
      </c>
      <c r="F18" s="412"/>
      <c r="G18" s="412"/>
      <c r="H18" s="104" t="s">
        <v>273</v>
      </c>
      <c r="I18" s="412"/>
    </row>
    <row r="19" spans="1:9" ht="16.5">
      <c r="A19" s="104"/>
      <c r="B19" s="411"/>
      <c r="C19" s="104"/>
      <c r="D19" s="104"/>
      <c r="E19" s="411"/>
      <c r="F19" s="295"/>
      <c r="G19" s="412"/>
      <c r="H19" s="104"/>
      <c r="I19" s="412"/>
    </row>
    <row r="20" spans="1:9" ht="16.5">
      <c r="A20" s="104"/>
      <c r="B20" s="411"/>
      <c r="C20" s="104"/>
      <c r="D20" s="104"/>
      <c r="E20" s="411"/>
      <c r="F20" s="295"/>
      <c r="G20" s="412"/>
      <c r="H20" s="104"/>
      <c r="I20" s="412"/>
    </row>
    <row r="21" spans="1:9" ht="43.5" customHeight="1">
      <c r="B21" s="475" t="s">
        <v>354</v>
      </c>
      <c r="C21" s="475"/>
      <c r="D21" s="475"/>
      <c r="E21" s="475"/>
      <c r="F21" s="412"/>
      <c r="G21" s="412"/>
      <c r="H21" s="410" t="s">
        <v>361</v>
      </c>
      <c r="I21" s="412"/>
    </row>
  </sheetData>
  <mergeCells count="3">
    <mergeCell ref="B2:H2"/>
    <mergeCell ref="A10:H10"/>
    <mergeCell ref="B21:E21"/>
  </mergeCells>
  <pageMargins left="0.48" right="0.7" top="0.5699999999999999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44"/>
  <sheetViews>
    <sheetView workbookViewId="0">
      <selection activeCell="E11" sqref="E11"/>
    </sheetView>
  </sheetViews>
  <sheetFormatPr defaultColWidth="9.140625" defaultRowHeight="13.5"/>
  <cols>
    <col min="1" max="1" width="6.85546875" style="164" customWidth="1"/>
    <col min="2" max="2" width="55.28515625" style="165" customWidth="1"/>
    <col min="3" max="5" width="9.140625" style="165"/>
    <col min="6" max="6" width="9.140625" style="73"/>
    <col min="7" max="7" width="9.140625" style="165"/>
    <col min="8" max="8" width="9.140625" style="73" customWidth="1"/>
    <col min="9" max="9" width="9.140625" style="164"/>
    <col min="10" max="13" width="9.140625" style="101"/>
    <col min="14" max="14" width="9.140625" style="166"/>
    <col min="15" max="16384" width="9.140625" style="101"/>
  </cols>
  <sheetData>
    <row r="1" spans="1:17" s="1" customFormat="1" ht="14.25" customHeight="1">
      <c r="A1" s="36"/>
      <c r="B1" s="111" t="s">
        <v>163</v>
      </c>
      <c r="C1" s="476" t="s">
        <v>164</v>
      </c>
      <c r="D1" s="476"/>
      <c r="E1" s="476"/>
      <c r="F1" s="476"/>
      <c r="G1" s="476"/>
      <c r="H1" s="476"/>
      <c r="N1" s="39"/>
    </row>
    <row r="2" spans="1:17" s="1" customFormat="1" ht="14.25">
      <c r="A2" s="112"/>
      <c r="B2" s="349"/>
      <c r="C2" s="350"/>
      <c r="D2" s="350"/>
      <c r="E2" s="351"/>
      <c r="F2" s="352"/>
      <c r="G2" s="353"/>
      <c r="H2" s="349"/>
      <c r="I2" s="354"/>
      <c r="N2" s="39"/>
    </row>
    <row r="3" spans="1:17" s="1" customFormat="1">
      <c r="A3" s="67"/>
      <c r="B3" s="69" t="s">
        <v>150</v>
      </c>
      <c r="C3" s="69"/>
      <c r="D3" s="69"/>
      <c r="E3" s="69"/>
      <c r="F3" s="69"/>
      <c r="G3" s="69"/>
      <c r="H3" s="69"/>
      <c r="I3" s="67"/>
      <c r="N3" s="39"/>
    </row>
    <row r="4" spans="1:17" s="1" customFormat="1" ht="14.25">
      <c r="A4" s="67"/>
      <c r="B4" s="69" t="s">
        <v>405</v>
      </c>
      <c r="C4" s="69"/>
      <c r="D4" s="69"/>
      <c r="E4" s="69"/>
      <c r="F4" s="69"/>
      <c r="G4" s="69"/>
      <c r="H4" s="69"/>
      <c r="I4" s="67"/>
      <c r="N4" s="39"/>
    </row>
    <row r="5" spans="1:17" s="117" customFormat="1" ht="76.5">
      <c r="A5" s="113"/>
      <c r="B5" s="114"/>
      <c r="C5" s="113" t="s">
        <v>165</v>
      </c>
      <c r="D5" s="113" t="s">
        <v>166</v>
      </c>
      <c r="E5" s="113" t="s">
        <v>167</v>
      </c>
      <c r="F5" s="113" t="s">
        <v>168</v>
      </c>
      <c r="G5" s="115" t="s">
        <v>169</v>
      </c>
      <c r="H5" s="115" t="s">
        <v>170</v>
      </c>
      <c r="I5" s="116" t="s">
        <v>171</v>
      </c>
    </row>
    <row r="6" spans="1:17" s="117" customFormat="1" ht="12.75">
      <c r="A6" s="118">
        <v>1</v>
      </c>
      <c r="B6" s="115">
        <v>2</v>
      </c>
      <c r="C6" s="115">
        <v>3</v>
      </c>
      <c r="D6" s="115">
        <v>4</v>
      </c>
      <c r="E6" s="115">
        <v>5</v>
      </c>
      <c r="F6" s="115">
        <v>6</v>
      </c>
      <c r="G6" s="115">
        <v>7</v>
      </c>
      <c r="H6" s="115">
        <v>8</v>
      </c>
      <c r="I6" s="118">
        <v>9</v>
      </c>
      <c r="K6" s="119"/>
      <c r="L6" s="119"/>
      <c r="M6" s="119"/>
      <c r="N6" s="119"/>
      <c r="O6" s="119"/>
      <c r="P6" s="119"/>
      <c r="Q6" s="119"/>
    </row>
    <row r="7" spans="1:17" s="124" customFormat="1" ht="40.5">
      <c r="A7" s="118">
        <v>1</v>
      </c>
      <c r="B7" s="120" t="s">
        <v>172</v>
      </c>
      <c r="C7" s="121" t="s">
        <v>162</v>
      </c>
      <c r="D7" s="121" t="s">
        <v>162</v>
      </c>
      <c r="E7" s="121" t="s">
        <v>162</v>
      </c>
      <c r="F7" s="122">
        <v>2571.1999999999998</v>
      </c>
      <c r="G7" s="121">
        <v>29.32</v>
      </c>
      <c r="H7" s="123">
        <f>G7*F7</f>
        <v>75387.584000000003</v>
      </c>
      <c r="I7" s="123">
        <f>H7*0.04498</f>
        <v>3390.9335283200003</v>
      </c>
      <c r="K7" s="125">
        <v>41.85</v>
      </c>
      <c r="L7" s="125"/>
      <c r="M7" s="125"/>
      <c r="N7" s="125"/>
      <c r="O7" s="125"/>
      <c r="P7" s="125"/>
      <c r="Q7" s="125"/>
    </row>
    <row r="8" spans="1:17" s="124" customFormat="1" ht="40.5">
      <c r="A8" s="118">
        <v>2</v>
      </c>
      <c r="B8" s="120" t="s">
        <v>173</v>
      </c>
      <c r="C8" s="121" t="s">
        <v>162</v>
      </c>
      <c r="D8" s="121" t="s">
        <v>162</v>
      </c>
      <c r="E8" s="121" t="s">
        <v>162</v>
      </c>
      <c r="F8" s="122"/>
      <c r="G8" s="121">
        <v>21.4</v>
      </c>
      <c r="H8" s="123">
        <f>G8*F8</f>
        <v>0</v>
      </c>
      <c r="I8" s="123">
        <f>H8*0.04498</f>
        <v>0</v>
      </c>
      <c r="K8" s="125">
        <f>+K7/1000</f>
        <v>4.1849999999999998E-2</v>
      </c>
      <c r="L8" s="125"/>
      <c r="M8" s="125"/>
      <c r="N8" s="125"/>
      <c r="O8" s="125"/>
      <c r="P8" s="125"/>
      <c r="Q8" s="125"/>
    </row>
    <row r="9" spans="1:17" s="124" customFormat="1" ht="40.5">
      <c r="A9" s="118">
        <v>3</v>
      </c>
      <c r="B9" s="120" t="s">
        <v>174</v>
      </c>
      <c r="C9" s="130">
        <v>25</v>
      </c>
      <c r="D9" s="121" t="s">
        <v>162</v>
      </c>
      <c r="E9" s="121" t="s">
        <v>162</v>
      </c>
      <c r="F9" s="121" t="s">
        <v>162</v>
      </c>
      <c r="G9" s="121">
        <v>1100</v>
      </c>
      <c r="H9" s="127">
        <f>C9*G9</f>
        <v>27500</v>
      </c>
      <c r="I9" s="123">
        <f>H9*0.04498</f>
        <v>1236.95</v>
      </c>
      <c r="J9" s="128"/>
      <c r="K9" s="129"/>
      <c r="L9" s="129"/>
      <c r="M9" s="129"/>
      <c r="N9" s="129"/>
      <c r="O9" s="129"/>
      <c r="P9" s="129"/>
      <c r="Q9" s="125"/>
    </row>
    <row r="10" spans="1:17" s="124" customFormat="1">
      <c r="A10" s="118">
        <v>4.2</v>
      </c>
      <c r="B10" s="120" t="s">
        <v>175</v>
      </c>
      <c r="C10" s="121" t="s">
        <v>162</v>
      </c>
      <c r="D10" s="121">
        <v>1</v>
      </c>
      <c r="E10" s="121">
        <f>9*365</f>
        <v>3285</v>
      </c>
      <c r="F10" s="121" t="s">
        <v>162</v>
      </c>
      <c r="G10" s="121" t="s">
        <v>162</v>
      </c>
      <c r="H10" s="127">
        <f>D10*E10</f>
        <v>3285</v>
      </c>
      <c r="I10" s="123">
        <f t="shared" ref="I10:I12" si="0">H10*0.04878</f>
        <v>160.2423</v>
      </c>
      <c r="J10" s="128"/>
      <c r="K10" s="129">
        <f>9*365</f>
        <v>3285</v>
      </c>
      <c r="L10" s="129"/>
      <c r="M10" s="129"/>
      <c r="N10" s="129"/>
      <c r="O10" s="129"/>
      <c r="P10" s="129"/>
      <c r="Q10" s="125"/>
    </row>
    <row r="11" spans="1:17" s="124" customFormat="1">
      <c r="A11" s="118">
        <v>4.3</v>
      </c>
      <c r="B11" s="126" t="s">
        <v>176</v>
      </c>
      <c r="C11" s="130" t="s">
        <v>162</v>
      </c>
      <c r="D11" s="131">
        <v>0.56299999999999994</v>
      </c>
      <c r="E11" s="130">
        <f>2*3*317</f>
        <v>1902</v>
      </c>
      <c r="F11" s="121" t="s">
        <v>162</v>
      </c>
      <c r="G11" s="121" t="s">
        <v>162</v>
      </c>
      <c r="H11" s="127">
        <f>D11*E11</f>
        <v>1070.8259999999998</v>
      </c>
      <c r="I11" s="123">
        <f t="shared" si="0"/>
        <v>52.23489227999999</v>
      </c>
      <c r="J11" s="128"/>
      <c r="K11" s="129"/>
      <c r="L11" s="129"/>
      <c r="M11" s="129"/>
      <c r="N11" s="129"/>
      <c r="O11" s="129"/>
      <c r="P11" s="129"/>
      <c r="Q11" s="125"/>
    </row>
    <row r="12" spans="1:17" s="124" customFormat="1">
      <c r="A12" s="118">
        <v>4.4000000000000004</v>
      </c>
      <c r="B12" s="120"/>
      <c r="C12" s="121" t="s">
        <v>162</v>
      </c>
      <c r="D12" s="121"/>
      <c r="E12" s="121"/>
      <c r="F12" s="121" t="s">
        <v>162</v>
      </c>
      <c r="G12" s="121" t="s">
        <v>162</v>
      </c>
      <c r="H12" s="127">
        <f>D12*E12</f>
        <v>0</v>
      </c>
      <c r="I12" s="123">
        <f t="shared" si="0"/>
        <v>0</v>
      </c>
      <c r="J12" s="132"/>
      <c r="K12" s="133"/>
      <c r="L12" s="129"/>
      <c r="M12" s="129" t="s">
        <v>271</v>
      </c>
      <c r="N12" s="129">
        <f>3*6*365</f>
        <v>6570</v>
      </c>
      <c r="O12" s="129"/>
      <c r="P12" s="129"/>
      <c r="Q12" s="125"/>
    </row>
    <row r="13" spans="1:17" s="124" customFormat="1" ht="16.5">
      <c r="A13" s="134"/>
      <c r="B13" s="135" t="s">
        <v>177</v>
      </c>
      <c r="C13" s="135"/>
      <c r="D13" s="136" t="s">
        <v>162</v>
      </c>
      <c r="E13" s="136" t="s">
        <v>162</v>
      </c>
      <c r="F13" s="136" t="s">
        <v>162</v>
      </c>
      <c r="G13" s="136" t="s">
        <v>162</v>
      </c>
      <c r="H13" s="137">
        <f>SUM(H7:H12)</f>
        <v>107243.41</v>
      </c>
      <c r="I13" s="137">
        <f>SUM(I7:I12)</f>
        <v>4840.3607206000006</v>
      </c>
      <c r="J13" s="138"/>
      <c r="K13" s="139"/>
      <c r="L13" s="129"/>
      <c r="M13" s="129"/>
      <c r="N13" s="129"/>
      <c r="O13" s="129"/>
      <c r="P13" s="129">
        <f>12*4</f>
        <v>48</v>
      </c>
      <c r="Q13" s="125"/>
    </row>
    <row r="14" spans="1:17" s="124" customFormat="1">
      <c r="A14" s="140"/>
      <c r="B14" s="141"/>
      <c r="C14" s="141"/>
      <c r="D14" s="141"/>
      <c r="E14" s="141"/>
      <c r="F14" s="142"/>
      <c r="G14" s="141"/>
      <c r="H14" s="143"/>
      <c r="I14" s="140"/>
      <c r="K14" s="125"/>
      <c r="L14" s="125"/>
      <c r="M14" s="125"/>
      <c r="N14" s="125"/>
      <c r="O14" s="125"/>
      <c r="P14" s="125">
        <f>365-P13</f>
        <v>317</v>
      </c>
      <c r="Q14" s="125"/>
    </row>
    <row r="15" spans="1:17" s="1" customFormat="1">
      <c r="A15" s="67"/>
      <c r="B15" s="69" t="s">
        <v>150</v>
      </c>
      <c r="C15" s="69"/>
      <c r="D15" s="69"/>
      <c r="E15" s="69"/>
      <c r="F15" s="69"/>
      <c r="G15" s="69"/>
      <c r="H15" s="68"/>
      <c r="I15" s="68"/>
      <c r="J15" s="68"/>
      <c r="K15" s="145"/>
      <c r="L15" s="145"/>
      <c r="M15" s="145"/>
      <c r="N15" s="36"/>
      <c r="O15" s="36"/>
      <c r="P15" s="36"/>
      <c r="Q15" s="36"/>
    </row>
    <row r="16" spans="1:17" s="1" customFormat="1">
      <c r="A16" s="67"/>
      <c r="B16" s="69" t="s">
        <v>387</v>
      </c>
      <c r="C16" s="69"/>
      <c r="D16" s="69"/>
      <c r="E16" s="69"/>
      <c r="F16" s="69"/>
      <c r="G16" s="69"/>
      <c r="H16" s="68"/>
      <c r="I16" s="68"/>
      <c r="J16" s="68"/>
      <c r="K16" s="145"/>
      <c r="L16" s="145"/>
      <c r="M16" s="145"/>
      <c r="N16" s="36"/>
      <c r="O16" s="36"/>
      <c r="P16" s="36"/>
      <c r="Q16" s="36"/>
    </row>
    <row r="17" spans="1:17" s="1" customFormat="1">
      <c r="A17" s="67"/>
      <c r="B17" s="69"/>
      <c r="C17" s="69"/>
      <c r="D17" s="69"/>
      <c r="E17" s="69"/>
      <c r="F17" s="69"/>
      <c r="G17" s="69"/>
      <c r="H17" s="69"/>
      <c r="I17" s="69"/>
      <c r="J17" s="69"/>
      <c r="K17" s="112"/>
      <c r="L17" s="112"/>
      <c r="M17" s="145"/>
      <c r="N17" s="36"/>
      <c r="O17" s="36"/>
      <c r="P17" s="36"/>
      <c r="Q17" s="36"/>
    </row>
    <row r="18" spans="1:17" s="117" customFormat="1" ht="114.75">
      <c r="A18" s="146" t="s">
        <v>178</v>
      </c>
      <c r="B18" s="113" t="s">
        <v>179</v>
      </c>
      <c r="C18" s="113" t="s">
        <v>180</v>
      </c>
      <c r="D18" s="115" t="s">
        <v>181</v>
      </c>
      <c r="E18" s="115" t="s">
        <v>182</v>
      </c>
      <c r="F18" s="115" t="s">
        <v>183</v>
      </c>
      <c r="G18" s="147" t="s">
        <v>407</v>
      </c>
      <c r="H18" s="115" t="s">
        <v>184</v>
      </c>
      <c r="I18" s="115" t="s">
        <v>185</v>
      </c>
      <c r="J18" s="115" t="s">
        <v>186</v>
      </c>
      <c r="K18" s="147" t="s">
        <v>187</v>
      </c>
      <c r="L18" s="147" t="s">
        <v>188</v>
      </c>
      <c r="M18" s="116" t="s">
        <v>189</v>
      </c>
      <c r="O18" s="119"/>
      <c r="P18" s="119">
        <f>156000/1000</f>
        <v>156</v>
      </c>
    </row>
    <row r="19" spans="1:17" s="117" customFormat="1" ht="12.75">
      <c r="A19" s="118">
        <v>1</v>
      </c>
      <c r="B19" s="115">
        <v>2</v>
      </c>
      <c r="C19" s="115">
        <v>3</v>
      </c>
      <c r="D19" s="115">
        <v>4</v>
      </c>
      <c r="E19" s="115">
        <v>5</v>
      </c>
      <c r="F19" s="115">
        <v>6</v>
      </c>
      <c r="G19" s="115">
        <v>7</v>
      </c>
      <c r="H19" s="115">
        <v>8</v>
      </c>
      <c r="I19" s="115">
        <v>9</v>
      </c>
      <c r="J19" s="115">
        <v>10</v>
      </c>
      <c r="K19" s="118">
        <v>11</v>
      </c>
      <c r="L19" s="118">
        <v>12</v>
      </c>
      <c r="M19" s="118">
        <v>13</v>
      </c>
      <c r="O19" s="119"/>
      <c r="P19" s="119"/>
    </row>
    <row r="20" spans="1:17" s="117" customFormat="1">
      <c r="A20" s="148">
        <v>1</v>
      </c>
      <c r="B20" s="121" t="s">
        <v>190</v>
      </c>
      <c r="C20" s="149" t="s">
        <v>191</v>
      </c>
      <c r="D20" s="121"/>
      <c r="E20" s="127">
        <f>+F7*3.5</f>
        <v>8999.1999999999989</v>
      </c>
      <c r="F20" s="150">
        <v>1.9400000000000001E-2</v>
      </c>
      <c r="G20" s="127">
        <f>E20*F20</f>
        <v>174.58447999999999</v>
      </c>
      <c r="H20" s="151">
        <v>147</v>
      </c>
      <c r="I20" s="121" t="s">
        <v>162</v>
      </c>
      <c r="J20" s="121" t="s">
        <v>162</v>
      </c>
      <c r="K20" s="151">
        <f>G20*H20</f>
        <v>25663.918559999998</v>
      </c>
      <c r="L20" s="148">
        <v>0.13900000000000001</v>
      </c>
      <c r="M20" s="151">
        <f>K20*L20</f>
        <v>3567.2846798400001</v>
      </c>
      <c r="O20" s="119"/>
      <c r="P20" s="119"/>
    </row>
    <row r="21" spans="1:17" s="124" customFormat="1" ht="16.5">
      <c r="A21" s="152"/>
      <c r="B21" s="135" t="s">
        <v>177</v>
      </c>
      <c r="C21" s="136" t="s">
        <v>162</v>
      </c>
      <c r="D21" s="136" t="s">
        <v>162</v>
      </c>
      <c r="E21" s="136" t="s">
        <v>162</v>
      </c>
      <c r="F21" s="136" t="s">
        <v>162</v>
      </c>
      <c r="G21" s="136" t="s">
        <v>162</v>
      </c>
      <c r="H21" s="136" t="s">
        <v>162</v>
      </c>
      <c r="I21" s="136" t="s">
        <v>162</v>
      </c>
      <c r="J21" s="136" t="s">
        <v>162</v>
      </c>
      <c r="K21" s="136" t="s">
        <v>162</v>
      </c>
      <c r="L21" s="136" t="s">
        <v>162</v>
      </c>
      <c r="M21" s="153">
        <f>+M20</f>
        <v>3567.2846798400001</v>
      </c>
      <c r="N21" s="154"/>
      <c r="O21" s="155"/>
      <c r="P21" s="125"/>
    </row>
    <row r="22" spans="1:17" s="124" customFormat="1">
      <c r="A22" s="156"/>
      <c r="B22" s="157"/>
      <c r="C22" s="158"/>
      <c r="D22" s="158"/>
      <c r="E22" s="158"/>
      <c r="F22" s="158"/>
      <c r="G22" s="158"/>
      <c r="H22" s="158"/>
      <c r="I22" s="158"/>
      <c r="J22" s="158"/>
      <c r="K22" s="158"/>
      <c r="L22" s="143"/>
      <c r="O22" s="125"/>
      <c r="P22" s="125"/>
    </row>
    <row r="23" spans="1:17" s="124" customFormat="1" ht="20.25" customHeight="1">
      <c r="A23" s="156"/>
      <c r="B23" s="1" t="s">
        <v>106</v>
      </c>
      <c r="C23"/>
      <c r="D23" s="101"/>
      <c r="E23" s="105"/>
      <c r="F23" s="1" t="s">
        <v>273</v>
      </c>
      <c r="H23" s="159"/>
      <c r="I23" s="159"/>
      <c r="J23" s="159"/>
      <c r="K23" s="159"/>
      <c r="L23" s="159"/>
      <c r="M23" s="160"/>
      <c r="O23" s="125">
        <f>130*20/100</f>
        <v>26</v>
      </c>
      <c r="P23" s="125"/>
    </row>
    <row r="24" spans="1:17" s="124" customFormat="1" ht="16.5">
      <c r="A24" s="156"/>
      <c r="B24" s="104"/>
      <c r="C24" s="104"/>
      <c r="D24" s="104"/>
      <c r="E24" s="106"/>
      <c r="F24" s="106"/>
      <c r="G24" s="109"/>
      <c r="H24" s="159"/>
      <c r="I24" s="159"/>
      <c r="J24" s="159"/>
      <c r="K24" s="159"/>
      <c r="L24" s="159"/>
      <c r="M24" s="160"/>
      <c r="O24" s="125">
        <f>+O23+130</f>
        <v>156</v>
      </c>
      <c r="P24" s="125"/>
    </row>
    <row r="25" spans="1:17" s="124" customFormat="1" ht="33">
      <c r="A25" s="161"/>
      <c r="B25" s="295" t="s">
        <v>354</v>
      </c>
      <c r="C25" s="104"/>
      <c r="D25" s="1"/>
      <c r="E25" s="108"/>
      <c r="F25" s="107" t="str">
        <f>+jur!H21</f>
        <v>Ն.Հարությունյան</v>
      </c>
      <c r="G25" s="144"/>
      <c r="H25" s="162"/>
      <c r="I25" s="162"/>
      <c r="J25" s="162"/>
      <c r="K25" s="163"/>
      <c r="L25" s="163"/>
      <c r="M25" s="163"/>
    </row>
    <row r="26" spans="1:17" s="124" customFormat="1">
      <c r="A26" s="140"/>
      <c r="B26" s="141"/>
      <c r="C26" s="141"/>
      <c r="D26" s="141"/>
      <c r="E26" s="141"/>
      <c r="F26" s="142"/>
      <c r="G26" s="141"/>
      <c r="H26" s="142"/>
      <c r="I26" s="140"/>
    </row>
    <row r="27" spans="1:17" s="124" customFormat="1">
      <c r="A27" s="140"/>
      <c r="B27" s="141"/>
      <c r="C27" s="141"/>
      <c r="D27" s="141"/>
      <c r="E27" s="141"/>
      <c r="F27" s="142"/>
      <c r="G27" s="141"/>
      <c r="H27" s="142"/>
      <c r="I27" s="140"/>
    </row>
    <row r="28" spans="1:17" s="124" customFormat="1">
      <c r="A28" s="140"/>
      <c r="B28" s="141"/>
      <c r="C28" s="141"/>
      <c r="D28" s="141"/>
      <c r="E28" s="141"/>
      <c r="F28" s="142"/>
      <c r="G28" s="141"/>
      <c r="H28" s="142"/>
      <c r="I28" s="140"/>
    </row>
    <row r="29" spans="1:17" s="124" customFormat="1">
      <c r="A29" s="140"/>
      <c r="B29" s="141"/>
      <c r="C29" s="141"/>
      <c r="D29" s="141"/>
      <c r="E29" s="141"/>
      <c r="F29" s="142"/>
      <c r="G29" s="141"/>
      <c r="H29" s="142"/>
      <c r="I29" s="140"/>
    </row>
    <row r="30" spans="1:17" s="124" customFormat="1">
      <c r="A30" s="140"/>
      <c r="B30" s="141"/>
      <c r="C30" s="141"/>
      <c r="D30" s="141"/>
      <c r="E30" s="141"/>
      <c r="F30" s="142"/>
      <c r="G30" s="141"/>
      <c r="H30" s="142"/>
      <c r="I30" s="140"/>
    </row>
    <row r="31" spans="1:17" s="124" customFormat="1">
      <c r="A31" s="140"/>
      <c r="B31" s="141"/>
      <c r="C31" s="141"/>
      <c r="D31" s="141"/>
      <c r="E31" s="141"/>
      <c r="F31" s="142"/>
      <c r="G31" s="141"/>
      <c r="H31" s="142"/>
      <c r="I31" s="140"/>
    </row>
    <row r="32" spans="1:17" s="124" customFormat="1">
      <c r="A32" s="140"/>
      <c r="B32" s="141"/>
      <c r="C32" s="141"/>
      <c r="D32" s="141"/>
      <c r="E32" s="141"/>
      <c r="F32" s="142"/>
      <c r="G32" s="141"/>
      <c r="H32" s="142"/>
      <c r="I32" s="140"/>
    </row>
    <row r="33" spans="1:9" s="124" customFormat="1">
      <c r="A33" s="140"/>
      <c r="B33" s="415"/>
      <c r="C33" s="141"/>
      <c r="D33" s="141"/>
      <c r="E33" s="141"/>
      <c r="F33" s="142"/>
      <c r="G33" s="141"/>
      <c r="H33" s="142"/>
      <c r="I33" s="140"/>
    </row>
    <row r="34" spans="1:9" s="124" customFormat="1">
      <c r="A34" s="140"/>
      <c r="B34" s="141"/>
      <c r="C34" s="141"/>
      <c r="D34" s="141"/>
      <c r="E34" s="141"/>
      <c r="F34" s="142"/>
      <c r="G34" s="141"/>
      <c r="H34" s="142"/>
      <c r="I34" s="140"/>
    </row>
    <row r="35" spans="1:9" s="124" customFormat="1">
      <c r="A35" s="140"/>
      <c r="B35" s="141"/>
      <c r="C35" s="141"/>
      <c r="D35" s="141"/>
      <c r="E35" s="141"/>
      <c r="F35" s="142"/>
      <c r="G35" s="141"/>
      <c r="H35" s="142"/>
      <c r="I35" s="140"/>
    </row>
    <row r="36" spans="1:9" s="124" customFormat="1">
      <c r="A36" s="140"/>
      <c r="B36" s="141"/>
      <c r="C36" s="141"/>
      <c r="D36" s="141"/>
      <c r="E36" s="141"/>
      <c r="F36" s="142"/>
      <c r="G36" s="141"/>
      <c r="H36" s="142"/>
      <c r="I36" s="140"/>
    </row>
    <row r="37" spans="1:9" s="124" customFormat="1">
      <c r="A37" s="140"/>
      <c r="B37" s="141"/>
      <c r="C37" s="141"/>
      <c r="D37" s="141"/>
      <c r="E37" s="141"/>
      <c r="F37" s="142"/>
      <c r="G37" s="141"/>
      <c r="H37" s="142"/>
      <c r="I37" s="140"/>
    </row>
    <row r="38" spans="1:9" s="124" customFormat="1">
      <c r="A38" s="140"/>
      <c r="B38" s="141"/>
      <c r="C38" s="141"/>
      <c r="D38" s="141"/>
      <c r="E38" s="141"/>
      <c r="F38" s="142"/>
      <c r="G38" s="141"/>
      <c r="H38" s="142"/>
      <c r="I38" s="140"/>
    </row>
    <row r="39" spans="1:9" s="124" customFormat="1">
      <c r="A39" s="140"/>
      <c r="B39" s="141"/>
      <c r="C39" s="141"/>
      <c r="D39" s="141"/>
      <c r="E39" s="141"/>
      <c r="F39" s="142"/>
      <c r="G39" s="141"/>
      <c r="H39" s="142"/>
      <c r="I39" s="140"/>
    </row>
    <row r="40" spans="1:9" s="124" customFormat="1">
      <c r="A40" s="140"/>
      <c r="B40" s="141"/>
      <c r="C40" s="141"/>
      <c r="D40" s="141"/>
      <c r="E40" s="141"/>
      <c r="F40" s="142"/>
      <c r="G40" s="141"/>
      <c r="H40" s="142"/>
      <c r="I40" s="140"/>
    </row>
    <row r="41" spans="1:9" s="124" customFormat="1">
      <c r="A41" s="140"/>
      <c r="B41" s="141"/>
      <c r="C41" s="141"/>
      <c r="D41" s="141"/>
      <c r="E41" s="141"/>
      <c r="F41" s="142"/>
      <c r="G41" s="141"/>
      <c r="H41" s="142"/>
      <c r="I41" s="140"/>
    </row>
    <row r="42" spans="1:9" s="124" customFormat="1">
      <c r="A42" s="140"/>
      <c r="B42" s="141"/>
      <c r="C42" s="141"/>
      <c r="D42" s="141"/>
      <c r="E42" s="141"/>
      <c r="F42" s="142"/>
      <c r="G42" s="141"/>
      <c r="H42" s="142"/>
      <c r="I42" s="140"/>
    </row>
    <row r="43" spans="1:9" s="124" customFormat="1">
      <c r="A43" s="140"/>
      <c r="B43" s="141"/>
      <c r="C43" s="141"/>
      <c r="D43" s="141"/>
      <c r="E43" s="141"/>
      <c r="F43" s="142"/>
      <c r="G43" s="141"/>
      <c r="H43" s="142"/>
      <c r="I43" s="140"/>
    </row>
    <row r="44" spans="1:9" s="124" customFormat="1">
      <c r="A44" s="140"/>
      <c r="B44" s="141"/>
      <c r="C44" s="141"/>
      <c r="D44" s="141"/>
      <c r="E44" s="141"/>
      <c r="F44" s="142"/>
      <c r="G44" s="141"/>
      <c r="H44" s="142"/>
      <c r="I44" s="140"/>
    </row>
  </sheetData>
  <mergeCells count="1">
    <mergeCell ref="C1:H1"/>
  </mergeCells>
  <pageMargins left="0.23622047244094491" right="0.19685039370078741" top="0.23622047244094491" bottom="0.19685039370078741" header="0.19685039370078741" footer="0.19685039370078741"/>
  <pageSetup paperSize="9" scale="85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47"/>
  <sheetViews>
    <sheetView topLeftCell="A16" zoomScaleNormal="100" workbookViewId="0">
      <selection activeCell="P33" sqref="P33"/>
    </sheetView>
  </sheetViews>
  <sheetFormatPr defaultColWidth="9.140625" defaultRowHeight="13.5"/>
  <cols>
    <col min="1" max="1" width="4.140625" style="110" customWidth="1"/>
    <col min="2" max="2" width="24.28515625" style="106" customWidth="1"/>
    <col min="3" max="3" width="7.85546875" style="9" customWidth="1"/>
    <col min="4" max="7" width="9.140625" style="9"/>
    <col min="8" max="8" width="10.28515625" style="9" customWidth="1"/>
    <col min="9" max="9" width="9.140625" style="110"/>
    <col min="10" max="10" width="9.140625" style="294"/>
    <col min="11" max="11" width="11.42578125" style="1" customWidth="1"/>
    <col min="12" max="12" width="11.7109375" style="1" customWidth="1"/>
    <col min="13" max="13" width="10.42578125" style="110" customWidth="1"/>
    <col min="14" max="14" width="12.140625" style="110" customWidth="1"/>
    <col min="15" max="15" width="9.140625" style="110"/>
    <col min="16" max="16" width="13" style="110" customWidth="1"/>
    <col min="17" max="16384" width="9.140625" style="1"/>
  </cols>
  <sheetData>
    <row r="1" spans="1:16" s="220" customFormat="1" ht="17.25">
      <c r="A1" s="217"/>
      <c r="B1" s="477"/>
      <c r="C1" s="477"/>
      <c r="D1" s="477"/>
      <c r="E1" s="477"/>
      <c r="F1" s="477"/>
      <c r="G1" s="109"/>
      <c r="H1" s="109"/>
      <c r="I1" s="218"/>
      <c r="J1" s="219"/>
      <c r="O1" s="67"/>
      <c r="P1" s="109"/>
    </row>
    <row r="2" spans="1:16" s="220" customFormat="1" ht="18" thickBot="1">
      <c r="A2" s="221"/>
      <c r="B2" s="222" t="s">
        <v>163</v>
      </c>
      <c r="C2" s="223" t="s">
        <v>164</v>
      </c>
      <c r="D2" s="224"/>
      <c r="E2" s="224"/>
      <c r="F2" s="224"/>
      <c r="G2" s="225"/>
      <c r="H2" s="225"/>
      <c r="I2" s="226"/>
      <c r="J2" s="227"/>
      <c r="K2" s="228"/>
    </row>
    <row r="3" spans="1:16" s="234" customFormat="1" ht="12.75">
      <c r="A3" s="229"/>
      <c r="B3" s="230" t="s">
        <v>150</v>
      </c>
      <c r="C3" s="230"/>
      <c r="D3" s="230"/>
      <c r="E3" s="230"/>
      <c r="F3" s="230"/>
      <c r="G3" s="230"/>
      <c r="H3" s="230"/>
      <c r="I3" s="231"/>
      <c r="J3" s="232"/>
      <c r="K3" s="231"/>
      <c r="L3" s="231"/>
      <c r="M3" s="229"/>
      <c r="N3" s="233"/>
      <c r="O3" s="229"/>
      <c r="P3" s="229"/>
    </row>
    <row r="4" spans="1:16" s="234" customFormat="1" ht="12.75">
      <c r="A4" s="229"/>
      <c r="B4" s="230" t="s">
        <v>397</v>
      </c>
      <c r="C4" s="230"/>
      <c r="D4" s="230"/>
      <c r="E4" s="230"/>
      <c r="F4" s="230"/>
      <c r="G4" s="230"/>
      <c r="H4" s="230"/>
      <c r="I4" s="231"/>
      <c r="J4" s="232"/>
      <c r="K4" s="231"/>
      <c r="L4" s="231"/>
      <c r="M4" s="229"/>
      <c r="N4" s="229"/>
      <c r="O4" s="229"/>
      <c r="P4" s="229"/>
    </row>
    <row r="5" spans="1:16" s="237" customFormat="1" ht="12.75">
      <c r="A5" s="229"/>
      <c r="B5" s="235"/>
      <c r="C5" s="235"/>
      <c r="D5" s="235"/>
      <c r="E5" s="235"/>
      <c r="F5" s="235"/>
      <c r="G5" s="235"/>
      <c r="H5" s="235"/>
      <c r="I5" s="229"/>
      <c r="J5" s="236"/>
      <c r="K5" s="234"/>
      <c r="L5" s="234"/>
      <c r="M5" s="229"/>
      <c r="N5" s="229"/>
      <c r="O5" s="229"/>
      <c r="P5" s="229"/>
    </row>
    <row r="6" spans="1:16" s="237" customFormat="1" ht="14.25">
      <c r="A6" s="238"/>
      <c r="B6" s="239"/>
      <c r="C6" s="240"/>
      <c r="D6" s="241" t="s">
        <v>151</v>
      </c>
      <c r="E6" s="242"/>
      <c r="F6" s="242"/>
      <c r="G6" s="242"/>
      <c r="H6" s="243"/>
      <c r="I6" s="244" t="s">
        <v>231</v>
      </c>
      <c r="J6" s="245"/>
      <c r="K6" s="246"/>
      <c r="L6" s="246"/>
      <c r="M6" s="246"/>
      <c r="N6" s="247"/>
      <c r="O6" s="238"/>
      <c r="P6" s="238"/>
    </row>
    <row r="7" spans="1:16" ht="204" customHeight="1">
      <c r="A7" s="248"/>
      <c r="B7" s="249"/>
      <c r="C7" s="250"/>
      <c r="D7" s="213" t="s">
        <v>232</v>
      </c>
      <c r="E7" s="213"/>
      <c r="F7" s="213" t="s">
        <v>233</v>
      </c>
      <c r="G7" s="213"/>
      <c r="H7" s="213" t="s">
        <v>234</v>
      </c>
      <c r="I7" s="478" t="s">
        <v>235</v>
      </c>
      <c r="J7" s="479"/>
      <c r="K7" s="251" t="s">
        <v>236</v>
      </c>
      <c r="L7" s="251" t="s">
        <v>237</v>
      </c>
      <c r="M7" s="251" t="s">
        <v>238</v>
      </c>
      <c r="N7" s="251" t="s">
        <v>239</v>
      </c>
      <c r="O7" s="252" t="s">
        <v>240</v>
      </c>
      <c r="P7" s="253" t="s">
        <v>241</v>
      </c>
    </row>
    <row r="8" spans="1:16" s="258" customFormat="1" ht="63.75">
      <c r="A8" s="254" t="s">
        <v>178</v>
      </c>
      <c r="B8" s="255" t="s">
        <v>242</v>
      </c>
      <c r="C8" s="254"/>
      <c r="D8" s="256" t="s">
        <v>243</v>
      </c>
      <c r="E8" s="256" t="s">
        <v>244</v>
      </c>
      <c r="F8" s="256" t="s">
        <v>243</v>
      </c>
      <c r="G8" s="256" t="s">
        <v>245</v>
      </c>
      <c r="H8" s="256" t="s">
        <v>246</v>
      </c>
      <c r="I8" s="256" t="s">
        <v>247</v>
      </c>
      <c r="J8" s="257" t="s">
        <v>22</v>
      </c>
      <c r="K8" s="256" t="s">
        <v>246</v>
      </c>
      <c r="L8" s="256" t="s">
        <v>246</v>
      </c>
      <c r="M8" s="256" t="s">
        <v>246</v>
      </c>
      <c r="N8" s="256" t="s">
        <v>246</v>
      </c>
      <c r="O8" s="256" t="s">
        <v>246</v>
      </c>
      <c r="P8" s="256" t="s">
        <v>246</v>
      </c>
    </row>
    <row r="9" spans="1:16">
      <c r="A9" s="37">
        <v>1</v>
      </c>
      <c r="B9" s="259">
        <v>2</v>
      </c>
      <c r="C9" s="32">
        <v>3</v>
      </c>
      <c r="D9" s="32">
        <v>4</v>
      </c>
      <c r="E9" s="31">
        <v>5</v>
      </c>
      <c r="F9" s="31">
        <v>6</v>
      </c>
      <c r="G9" s="31">
        <v>7</v>
      </c>
      <c r="H9" s="31">
        <v>8</v>
      </c>
      <c r="I9" s="37">
        <v>9</v>
      </c>
      <c r="J9" s="260"/>
      <c r="K9" s="32">
        <v>11</v>
      </c>
      <c r="L9" s="32">
        <v>12</v>
      </c>
      <c r="M9" s="37">
        <v>13</v>
      </c>
      <c r="N9" s="37">
        <v>14</v>
      </c>
      <c r="O9" s="37">
        <v>15</v>
      </c>
      <c r="P9" s="37">
        <v>16</v>
      </c>
    </row>
    <row r="10" spans="1:16" ht="67.5">
      <c r="A10" s="37"/>
      <c r="B10" s="261" t="s">
        <v>248</v>
      </c>
      <c r="C10" s="32"/>
      <c r="D10" s="37" t="s">
        <v>162</v>
      </c>
      <c r="E10" s="262">
        <v>300</v>
      </c>
      <c r="F10" s="37" t="s">
        <v>162</v>
      </c>
      <c r="G10" s="262"/>
      <c r="H10" s="37" t="s">
        <v>162</v>
      </c>
      <c r="I10" s="37" t="s">
        <v>162</v>
      </c>
      <c r="J10" s="260" t="s">
        <v>162</v>
      </c>
      <c r="K10" s="37" t="s">
        <v>162</v>
      </c>
      <c r="L10" s="37" t="s">
        <v>162</v>
      </c>
      <c r="M10" s="37" t="s">
        <v>162</v>
      </c>
      <c r="N10" s="37" t="s">
        <v>162</v>
      </c>
      <c r="O10" s="37" t="s">
        <v>162</v>
      </c>
      <c r="P10" s="37" t="s">
        <v>162</v>
      </c>
    </row>
    <row r="11" spans="1:16" ht="40.5">
      <c r="A11" s="37">
        <v>1</v>
      </c>
      <c r="B11" s="263" t="s">
        <v>249</v>
      </c>
      <c r="C11" s="264">
        <v>38</v>
      </c>
      <c r="D11" s="37" t="s">
        <v>162</v>
      </c>
      <c r="E11" s="37" t="s">
        <v>162</v>
      </c>
      <c r="F11" s="37" t="s">
        <v>162</v>
      </c>
      <c r="G11" s="37" t="s">
        <v>162</v>
      </c>
      <c r="H11" s="37" t="s">
        <v>162</v>
      </c>
      <c r="I11" s="37" t="s">
        <v>162</v>
      </c>
      <c r="J11" s="260" t="s">
        <v>162</v>
      </c>
      <c r="K11" s="37" t="s">
        <v>162</v>
      </c>
      <c r="L11" s="37" t="s">
        <v>162</v>
      </c>
      <c r="M11" s="37" t="s">
        <v>162</v>
      </c>
      <c r="N11" s="37" t="s">
        <v>162</v>
      </c>
      <c r="O11" s="265">
        <v>150000</v>
      </c>
      <c r="P11" s="265">
        <f>O11</f>
        <v>150000</v>
      </c>
    </row>
    <row r="12" spans="1:16" s="272" customFormat="1">
      <c r="A12" s="266">
        <v>2</v>
      </c>
      <c r="B12" s="267" t="s">
        <v>106</v>
      </c>
      <c r="C12" s="405">
        <v>1</v>
      </c>
      <c r="D12" s="268">
        <v>1</v>
      </c>
      <c r="E12" s="269">
        <f>D12*12*$E$10</f>
        <v>3600</v>
      </c>
      <c r="F12" s="404"/>
      <c r="G12" s="269">
        <f>F12*12*$G$10</f>
        <v>0</v>
      </c>
      <c r="H12" s="269">
        <f>+F12*12*E10</f>
        <v>0</v>
      </c>
      <c r="I12" s="404">
        <v>1500</v>
      </c>
      <c r="J12" s="270">
        <f>(I12-360)*4.17</f>
        <v>4753.8</v>
      </c>
      <c r="K12" s="271">
        <v>5000</v>
      </c>
      <c r="L12" s="271"/>
      <c r="M12" s="271">
        <f t="shared" ref="M12:M19" si="0">J12+K12+L12</f>
        <v>9753.7999999999993</v>
      </c>
      <c r="N12" s="271">
        <f>M12*C12*12</f>
        <v>117045.59999999999</v>
      </c>
      <c r="O12" s="271" t="s">
        <v>162</v>
      </c>
      <c r="P12" s="271">
        <f>H12+N12</f>
        <v>117045.59999999999</v>
      </c>
    </row>
    <row r="13" spans="1:16">
      <c r="A13" s="37">
        <v>3</v>
      </c>
      <c r="B13" s="263" t="s">
        <v>107</v>
      </c>
      <c r="C13" s="277">
        <v>1</v>
      </c>
      <c r="D13" s="32">
        <v>1</v>
      </c>
      <c r="E13" s="273">
        <f>D13*12*$E$10</f>
        <v>3600</v>
      </c>
      <c r="F13" s="32"/>
      <c r="G13" s="273">
        <f>F13*12*$G$10</f>
        <v>0</v>
      </c>
      <c r="H13" s="269">
        <f>+F13*12*E10</f>
        <v>0</v>
      </c>
      <c r="I13" s="37">
        <v>600</v>
      </c>
      <c r="J13" s="275">
        <f t="shared" ref="J13:J19" si="1">(I13-360)*4.17</f>
        <v>1000.8</v>
      </c>
      <c r="K13" s="265">
        <v>1000</v>
      </c>
      <c r="L13" s="265">
        <v>1500</v>
      </c>
      <c r="M13" s="265">
        <f t="shared" si="0"/>
        <v>3500.8</v>
      </c>
      <c r="N13" s="265">
        <f>M13*C13*12</f>
        <v>42009.600000000006</v>
      </c>
      <c r="O13" s="265" t="s">
        <v>162</v>
      </c>
      <c r="P13" s="265">
        <f>H13+N13</f>
        <v>42009.600000000006</v>
      </c>
    </row>
    <row r="14" spans="1:16">
      <c r="A14" s="37">
        <v>4</v>
      </c>
      <c r="B14" s="263" t="s">
        <v>250</v>
      </c>
      <c r="C14" s="277">
        <v>1</v>
      </c>
      <c r="D14" s="32" t="s">
        <v>162</v>
      </c>
      <c r="E14" s="32" t="s">
        <v>162</v>
      </c>
      <c r="F14" s="32" t="s">
        <v>162</v>
      </c>
      <c r="G14" s="32" t="s">
        <v>162</v>
      </c>
      <c r="H14" s="32" t="s">
        <v>162</v>
      </c>
      <c r="I14" s="37">
        <v>600</v>
      </c>
      <c r="J14" s="275">
        <f>(I14-360)*4.17</f>
        <v>1000.8</v>
      </c>
      <c r="K14" s="265">
        <v>1000</v>
      </c>
      <c r="L14" s="265">
        <v>1500</v>
      </c>
      <c r="M14" s="265">
        <f t="shared" si="0"/>
        <v>3500.8</v>
      </c>
      <c r="N14" s="265">
        <f t="shared" ref="N14:N19" si="2">M14*C14*12</f>
        <v>42009.600000000006</v>
      </c>
      <c r="O14" s="265" t="s">
        <v>162</v>
      </c>
      <c r="P14" s="265">
        <f>N14</f>
        <v>42009.600000000006</v>
      </c>
    </row>
    <row r="15" spans="1:16">
      <c r="A15" s="37">
        <v>5</v>
      </c>
      <c r="B15" s="263" t="s">
        <v>251</v>
      </c>
      <c r="C15" s="277">
        <v>1</v>
      </c>
      <c r="D15" s="32" t="s">
        <v>162</v>
      </c>
      <c r="E15" s="32" t="s">
        <v>162</v>
      </c>
      <c r="F15" s="32" t="s">
        <v>162</v>
      </c>
      <c r="G15" s="32" t="s">
        <v>162</v>
      </c>
      <c r="H15" s="32" t="s">
        <v>162</v>
      </c>
      <c r="I15" s="37">
        <v>600</v>
      </c>
      <c r="J15" s="275">
        <f t="shared" si="1"/>
        <v>1000.8</v>
      </c>
      <c r="K15" s="265">
        <v>1000</v>
      </c>
      <c r="L15" s="265"/>
      <c r="M15" s="265">
        <f t="shared" si="0"/>
        <v>2000.8</v>
      </c>
      <c r="N15" s="265">
        <f t="shared" si="2"/>
        <v>24009.599999999999</v>
      </c>
      <c r="O15" s="265" t="s">
        <v>162</v>
      </c>
      <c r="P15" s="265">
        <f>N15</f>
        <v>24009.599999999999</v>
      </c>
    </row>
    <row r="16" spans="1:16" ht="40.5">
      <c r="A16" s="37">
        <v>6</v>
      </c>
      <c r="B16" s="263" t="s">
        <v>344</v>
      </c>
      <c r="C16" s="277">
        <v>1</v>
      </c>
      <c r="D16" s="32" t="s">
        <v>162</v>
      </c>
      <c r="E16" s="32" t="s">
        <v>162</v>
      </c>
      <c r="F16" s="32" t="s">
        <v>162</v>
      </c>
      <c r="G16" s="32" t="s">
        <v>162</v>
      </c>
      <c r="H16" s="32" t="s">
        <v>162</v>
      </c>
      <c r="I16" s="37">
        <v>1000</v>
      </c>
      <c r="J16" s="275">
        <f t="shared" si="1"/>
        <v>2668.8</v>
      </c>
      <c r="K16" s="265">
        <v>1000</v>
      </c>
      <c r="L16" s="265"/>
      <c r="M16" s="265">
        <f t="shared" si="0"/>
        <v>3668.8</v>
      </c>
      <c r="N16" s="265">
        <f>M16*C16*12</f>
        <v>44025.600000000006</v>
      </c>
      <c r="O16" s="265" t="s">
        <v>162</v>
      </c>
      <c r="P16" s="265">
        <f>N16</f>
        <v>44025.600000000006</v>
      </c>
    </row>
    <row r="17" spans="1:16">
      <c r="A17" s="37">
        <v>7</v>
      </c>
      <c r="B17" s="263" t="s">
        <v>329</v>
      </c>
      <c r="C17" s="277">
        <v>1</v>
      </c>
      <c r="D17" s="32">
        <v>1</v>
      </c>
      <c r="E17" s="273">
        <f>D17*12*$E$10</f>
        <v>3600</v>
      </c>
      <c r="F17" s="32"/>
      <c r="G17" s="273">
        <f>F17*12*$G$10</f>
        <v>0</v>
      </c>
      <c r="H17" s="274">
        <f>+F17*12*E10</f>
        <v>0</v>
      </c>
      <c r="I17" s="37">
        <v>1000</v>
      </c>
      <c r="J17" s="275">
        <f t="shared" si="1"/>
        <v>2668.8</v>
      </c>
      <c r="K17" s="265">
        <v>1000</v>
      </c>
      <c r="L17" s="265">
        <v>1500</v>
      </c>
      <c r="M17" s="265">
        <f t="shared" si="0"/>
        <v>5168.8</v>
      </c>
      <c r="N17" s="265">
        <f t="shared" si="2"/>
        <v>62025.600000000006</v>
      </c>
      <c r="O17" s="265" t="s">
        <v>162</v>
      </c>
      <c r="P17" s="265">
        <f>H17+N17</f>
        <v>62025.600000000006</v>
      </c>
    </row>
    <row r="18" spans="1:16" ht="67.5">
      <c r="A18" s="37">
        <v>8</v>
      </c>
      <c r="B18" s="263" t="s">
        <v>355</v>
      </c>
      <c r="C18" s="277">
        <v>10</v>
      </c>
      <c r="D18" s="32">
        <v>7</v>
      </c>
      <c r="E18" s="273">
        <f>D18*12*$E$10</f>
        <v>25200</v>
      </c>
      <c r="F18" s="32"/>
      <c r="G18" s="273">
        <f>F18*12*$G$10</f>
        <v>0</v>
      </c>
      <c r="H18" s="274">
        <f>+F18*12*E10</f>
        <v>0</v>
      </c>
      <c r="I18" s="37">
        <v>600</v>
      </c>
      <c r="J18" s="275">
        <f t="shared" si="1"/>
        <v>1000.8</v>
      </c>
      <c r="K18" s="265">
        <v>1000</v>
      </c>
      <c r="L18" s="265"/>
      <c r="M18" s="265">
        <f t="shared" si="0"/>
        <v>2000.8</v>
      </c>
      <c r="N18" s="265">
        <f>M18*C18*12</f>
        <v>240096</v>
      </c>
      <c r="O18" s="265" t="s">
        <v>162</v>
      </c>
      <c r="P18" s="265">
        <f>H18+N18</f>
        <v>240096</v>
      </c>
    </row>
    <row r="19" spans="1:16" ht="67.5" hidden="1">
      <c r="A19" s="37">
        <v>10</v>
      </c>
      <c r="B19" s="263" t="s">
        <v>252</v>
      </c>
      <c r="C19" s="277"/>
      <c r="D19" s="32"/>
      <c r="E19" s="273">
        <f>D19*12*$E$10</f>
        <v>0</v>
      </c>
      <c r="F19" s="32"/>
      <c r="G19" s="273">
        <f>F19*12*$G$10</f>
        <v>0</v>
      </c>
      <c r="H19" s="274">
        <f>E19+G19</f>
        <v>0</v>
      </c>
      <c r="I19" s="37">
        <v>3000</v>
      </c>
      <c r="J19" s="275">
        <f t="shared" si="1"/>
        <v>11008.8</v>
      </c>
      <c r="K19" s="265">
        <v>8000</v>
      </c>
      <c r="L19" s="265">
        <v>4000</v>
      </c>
      <c r="M19" s="265">
        <f t="shared" si="0"/>
        <v>23008.799999999999</v>
      </c>
      <c r="N19" s="265">
        <f t="shared" si="2"/>
        <v>0</v>
      </c>
      <c r="O19" s="265" t="s">
        <v>162</v>
      </c>
      <c r="P19" s="265">
        <f>H19+N19</f>
        <v>0</v>
      </c>
    </row>
    <row r="20" spans="1:16" hidden="1">
      <c r="A20" s="37"/>
      <c r="B20" s="263"/>
      <c r="C20" s="277"/>
      <c r="D20" s="32"/>
      <c r="E20" s="32"/>
      <c r="F20" s="32"/>
      <c r="G20" s="32"/>
      <c r="H20" s="32"/>
      <c r="I20" s="37"/>
      <c r="J20" s="275"/>
      <c r="K20" s="265"/>
      <c r="L20" s="265"/>
      <c r="M20" s="265"/>
      <c r="N20" s="265"/>
      <c r="O20" s="265"/>
      <c r="P20" s="265"/>
    </row>
    <row r="21" spans="1:16" hidden="1">
      <c r="A21" s="37"/>
      <c r="B21" s="263"/>
      <c r="C21" s="277"/>
      <c r="D21" s="32"/>
      <c r="E21" s="32"/>
      <c r="F21" s="32"/>
      <c r="G21" s="32"/>
      <c r="H21" s="32"/>
      <c r="I21" s="37"/>
      <c r="J21" s="275"/>
      <c r="K21" s="265"/>
      <c r="L21" s="265"/>
      <c r="M21" s="265"/>
      <c r="N21" s="265"/>
      <c r="O21" s="265"/>
      <c r="P21" s="265"/>
    </row>
    <row r="22" spans="1:16" hidden="1">
      <c r="A22" s="37"/>
      <c r="B22" s="263"/>
      <c r="C22" s="406"/>
      <c r="D22" s="32"/>
      <c r="E22" s="32"/>
      <c r="F22" s="32"/>
      <c r="G22" s="32"/>
      <c r="H22" s="32"/>
      <c r="I22" s="37"/>
      <c r="J22" s="275"/>
      <c r="K22" s="265"/>
      <c r="L22" s="265"/>
      <c r="M22" s="265"/>
      <c r="N22" s="265"/>
      <c r="O22" s="265"/>
      <c r="P22" s="265"/>
    </row>
    <row r="23" spans="1:16" hidden="1">
      <c r="A23" s="37"/>
      <c r="B23" s="263"/>
      <c r="C23" s="277"/>
      <c r="D23" s="32"/>
      <c r="E23" s="32"/>
      <c r="F23" s="32"/>
      <c r="G23" s="32"/>
      <c r="H23" s="32"/>
      <c r="I23" s="37"/>
      <c r="J23" s="275"/>
      <c r="K23" s="265"/>
      <c r="L23" s="265"/>
      <c r="M23" s="265"/>
      <c r="N23" s="265"/>
      <c r="O23" s="265"/>
      <c r="P23" s="265"/>
    </row>
    <row r="24" spans="1:16" hidden="1">
      <c r="A24" s="37"/>
      <c r="B24" s="263"/>
      <c r="C24" s="277"/>
      <c r="D24" s="32"/>
      <c r="E24" s="32"/>
      <c r="F24" s="32"/>
      <c r="G24" s="32"/>
      <c r="H24" s="32"/>
      <c r="I24" s="37"/>
      <c r="J24" s="275"/>
      <c r="K24" s="265"/>
      <c r="L24" s="265"/>
      <c r="M24" s="265"/>
      <c r="N24" s="265"/>
      <c r="O24" s="265"/>
      <c r="P24" s="265"/>
    </row>
    <row r="25" spans="1:16" hidden="1">
      <c r="A25" s="37"/>
      <c r="B25" s="263"/>
      <c r="C25" s="277"/>
      <c r="D25" s="32"/>
      <c r="E25" s="32"/>
      <c r="F25" s="32"/>
      <c r="G25" s="32"/>
      <c r="H25" s="32"/>
      <c r="I25" s="37"/>
      <c r="J25" s="275"/>
      <c r="K25" s="265"/>
      <c r="L25" s="265"/>
      <c r="M25" s="265"/>
      <c r="N25" s="265"/>
      <c r="O25" s="265"/>
      <c r="P25" s="265"/>
    </row>
    <row r="26" spans="1:16" hidden="1">
      <c r="A26" s="37"/>
      <c r="B26" s="263"/>
      <c r="C26" s="277"/>
      <c r="D26" s="211"/>
      <c r="E26" s="276"/>
      <c r="F26" s="211"/>
      <c r="G26" s="276"/>
      <c r="H26" s="276"/>
      <c r="I26" s="37"/>
      <c r="J26" s="275"/>
      <c r="K26" s="265"/>
      <c r="L26" s="265"/>
      <c r="M26" s="265"/>
      <c r="N26" s="265"/>
      <c r="O26" s="265"/>
      <c r="P26" s="265"/>
    </row>
    <row r="27" spans="1:16" hidden="1">
      <c r="A27" s="37"/>
      <c r="B27" s="263"/>
      <c r="C27" s="277"/>
      <c r="D27" s="211"/>
      <c r="E27" s="211"/>
      <c r="F27" s="211"/>
      <c r="G27" s="211"/>
      <c r="H27" s="211"/>
      <c r="I27" s="211"/>
      <c r="J27" s="260"/>
      <c r="K27" s="211"/>
      <c r="L27" s="211"/>
      <c r="M27" s="212"/>
      <c r="N27" s="212"/>
      <c r="O27" s="212"/>
      <c r="P27" s="212"/>
    </row>
    <row r="28" spans="1:16" ht="81">
      <c r="A28" s="37">
        <v>9</v>
      </c>
      <c r="B28" s="263" t="s">
        <v>253</v>
      </c>
      <c r="C28" s="277">
        <v>22</v>
      </c>
      <c r="D28" s="277">
        <v>10</v>
      </c>
      <c r="E28" s="273">
        <f>D28*12*$E$10</f>
        <v>36000</v>
      </c>
      <c r="F28" s="277"/>
      <c r="G28" s="273">
        <f>F28*12*$G$10</f>
        <v>0</v>
      </c>
      <c r="H28" s="274">
        <f>+F28*12*E10</f>
        <v>0</v>
      </c>
      <c r="I28" s="37" t="s">
        <v>162</v>
      </c>
      <c r="J28" s="260"/>
      <c r="K28" s="265" t="s">
        <v>162</v>
      </c>
      <c r="L28" s="265" t="s">
        <v>162</v>
      </c>
      <c r="M28" s="265" t="s">
        <v>162</v>
      </c>
      <c r="N28" s="265" t="s">
        <v>162</v>
      </c>
      <c r="O28" s="265" t="s">
        <v>162</v>
      </c>
      <c r="P28" s="265">
        <f>H28</f>
        <v>0</v>
      </c>
    </row>
    <row r="29" spans="1:16" s="284" customFormat="1">
      <c r="A29" s="278"/>
      <c r="B29" s="279"/>
      <c r="C29" s="280"/>
      <c r="D29" s="281">
        <f>SUM(D12:D28)</f>
        <v>20</v>
      </c>
      <c r="E29" s="281">
        <f>SUM(E12:E28)*1.2</f>
        <v>86400</v>
      </c>
      <c r="F29" s="281">
        <f>SUM(F12:F28)</f>
        <v>0</v>
      </c>
      <c r="G29" s="281">
        <f>SUM(G12:G28)</f>
        <v>0</v>
      </c>
      <c r="H29" s="281">
        <f>SUM(H12:H28)</f>
        <v>0</v>
      </c>
      <c r="I29" s="278"/>
      <c r="J29" s="282"/>
      <c r="K29" s="283"/>
      <c r="L29" s="283"/>
      <c r="M29" s="283"/>
      <c r="N29" s="283">
        <f>SUM(N12:N28)*1.2</f>
        <v>685465.91999999993</v>
      </c>
      <c r="O29" s="283"/>
      <c r="P29" s="283">
        <f>SUM(P11:P28)*1.2-N29+N29*0.3</f>
        <v>385639.77599999984</v>
      </c>
    </row>
    <row r="30" spans="1:16">
      <c r="A30" s="37"/>
      <c r="B30" s="263"/>
      <c r="C30" s="32"/>
      <c r="D30" s="32"/>
      <c r="E30" s="274"/>
      <c r="F30" s="32"/>
      <c r="G30" s="31"/>
      <c r="H30" s="274"/>
      <c r="I30" s="37"/>
      <c r="J30" s="260"/>
      <c r="K30" s="265"/>
      <c r="L30" s="265"/>
      <c r="M30" s="265"/>
      <c r="N30" s="265"/>
      <c r="O30" s="265"/>
      <c r="P30" s="265"/>
    </row>
    <row r="31" spans="1:16" ht="40.5">
      <c r="A31" s="37"/>
      <c r="B31" s="285" t="s">
        <v>254</v>
      </c>
      <c r="C31" s="32" t="s">
        <v>162</v>
      </c>
      <c r="D31" s="32" t="s">
        <v>162</v>
      </c>
      <c r="E31" s="32" t="s">
        <v>162</v>
      </c>
      <c r="F31" s="32" t="s">
        <v>162</v>
      </c>
      <c r="G31" s="32" t="s">
        <v>162</v>
      </c>
      <c r="H31" s="32" t="s">
        <v>162</v>
      </c>
      <c r="I31" s="32" t="s">
        <v>162</v>
      </c>
      <c r="J31" s="286" t="s">
        <v>162</v>
      </c>
      <c r="K31" s="32" t="s">
        <v>162</v>
      </c>
      <c r="L31" s="32" t="s">
        <v>162</v>
      </c>
      <c r="M31" s="276" t="s">
        <v>162</v>
      </c>
      <c r="N31" s="276" t="s">
        <v>162</v>
      </c>
      <c r="O31" s="276" t="s">
        <v>162</v>
      </c>
      <c r="P31" s="265">
        <f>SUM(P32:P38)</f>
        <v>720000</v>
      </c>
    </row>
    <row r="32" spans="1:16">
      <c r="A32" s="37">
        <v>1</v>
      </c>
      <c r="B32" s="287" t="s">
        <v>386</v>
      </c>
      <c r="C32" s="32" t="s">
        <v>162</v>
      </c>
      <c r="D32" s="32" t="s">
        <v>162</v>
      </c>
      <c r="E32" s="32" t="s">
        <v>162</v>
      </c>
      <c r="F32" s="32" t="s">
        <v>162</v>
      </c>
      <c r="G32" s="32" t="s">
        <v>162</v>
      </c>
      <c r="H32" s="32" t="s">
        <v>162</v>
      </c>
      <c r="I32" s="32" t="s">
        <v>162</v>
      </c>
      <c r="J32" s="286" t="s">
        <v>162</v>
      </c>
      <c r="K32" s="32" t="s">
        <v>162</v>
      </c>
      <c r="L32" s="32" t="s">
        <v>162</v>
      </c>
      <c r="M32" s="276" t="s">
        <v>162</v>
      </c>
      <c r="N32" s="276" t="s">
        <v>162</v>
      </c>
      <c r="O32" s="276" t="s">
        <v>162</v>
      </c>
      <c r="P32" s="265">
        <f>12000*12</f>
        <v>144000</v>
      </c>
    </row>
    <row r="33" spans="1:16">
      <c r="A33" s="37">
        <v>2</v>
      </c>
      <c r="B33" s="287" t="s">
        <v>152</v>
      </c>
      <c r="C33" s="32" t="s">
        <v>162</v>
      </c>
      <c r="D33" s="32" t="s">
        <v>162</v>
      </c>
      <c r="E33" s="32" t="s">
        <v>162</v>
      </c>
      <c r="F33" s="32" t="s">
        <v>162</v>
      </c>
      <c r="G33" s="32" t="s">
        <v>162</v>
      </c>
      <c r="H33" s="32" t="s">
        <v>162</v>
      </c>
      <c r="I33" s="32" t="s">
        <v>162</v>
      </c>
      <c r="J33" s="286" t="s">
        <v>162</v>
      </c>
      <c r="K33" s="32" t="s">
        <v>162</v>
      </c>
      <c r="L33" s="32" t="s">
        <v>162</v>
      </c>
      <c r="M33" s="276" t="s">
        <v>162</v>
      </c>
      <c r="N33" s="276" t="s">
        <v>162</v>
      </c>
      <c r="O33" s="276" t="s">
        <v>162</v>
      </c>
      <c r="P33" s="453">
        <f>48000*12</f>
        <v>576000</v>
      </c>
    </row>
    <row r="34" spans="1:16">
      <c r="A34" s="37">
        <v>3</v>
      </c>
      <c r="B34" s="287"/>
      <c r="C34" s="32" t="s">
        <v>162</v>
      </c>
      <c r="D34" s="32" t="s">
        <v>162</v>
      </c>
      <c r="E34" s="32" t="s">
        <v>162</v>
      </c>
      <c r="F34" s="32" t="s">
        <v>162</v>
      </c>
      <c r="G34" s="32" t="s">
        <v>162</v>
      </c>
      <c r="H34" s="32" t="s">
        <v>162</v>
      </c>
      <c r="I34" s="32" t="s">
        <v>162</v>
      </c>
      <c r="J34" s="286" t="s">
        <v>162</v>
      </c>
      <c r="K34" s="32" t="s">
        <v>162</v>
      </c>
      <c r="L34" s="32" t="s">
        <v>162</v>
      </c>
      <c r="M34" s="276" t="s">
        <v>162</v>
      </c>
      <c r="N34" s="276" t="s">
        <v>162</v>
      </c>
      <c r="O34" s="276" t="s">
        <v>162</v>
      </c>
      <c r="P34" s="265"/>
    </row>
    <row r="35" spans="1:16">
      <c r="A35" s="37">
        <v>4</v>
      </c>
      <c r="B35" s="287"/>
      <c r="C35" s="32" t="s">
        <v>162</v>
      </c>
      <c r="D35" s="32" t="s">
        <v>162</v>
      </c>
      <c r="E35" s="32" t="s">
        <v>162</v>
      </c>
      <c r="F35" s="32" t="s">
        <v>162</v>
      </c>
      <c r="G35" s="32" t="s">
        <v>162</v>
      </c>
      <c r="H35" s="32" t="s">
        <v>162</v>
      </c>
      <c r="I35" s="32" t="s">
        <v>162</v>
      </c>
      <c r="J35" s="286" t="s">
        <v>162</v>
      </c>
      <c r="K35" s="32" t="s">
        <v>162</v>
      </c>
      <c r="L35" s="32" t="s">
        <v>162</v>
      </c>
      <c r="M35" s="276" t="s">
        <v>162</v>
      </c>
      <c r="N35" s="276" t="s">
        <v>162</v>
      </c>
      <c r="O35" s="276" t="s">
        <v>162</v>
      </c>
      <c r="P35" s="265"/>
    </row>
    <row r="36" spans="1:16">
      <c r="A36" s="37" t="s">
        <v>255</v>
      </c>
      <c r="B36" s="287"/>
      <c r="C36" s="32" t="s">
        <v>162</v>
      </c>
      <c r="D36" s="32" t="s">
        <v>162</v>
      </c>
      <c r="E36" s="32" t="s">
        <v>162</v>
      </c>
      <c r="F36" s="32" t="s">
        <v>162</v>
      </c>
      <c r="G36" s="32" t="s">
        <v>162</v>
      </c>
      <c r="H36" s="32" t="s">
        <v>162</v>
      </c>
      <c r="I36" s="32" t="s">
        <v>162</v>
      </c>
      <c r="J36" s="286" t="s">
        <v>162</v>
      </c>
      <c r="K36" s="32" t="s">
        <v>162</v>
      </c>
      <c r="L36" s="32" t="s">
        <v>162</v>
      </c>
      <c r="M36" s="276" t="s">
        <v>162</v>
      </c>
      <c r="N36" s="276" t="s">
        <v>162</v>
      </c>
      <c r="O36" s="276" t="s">
        <v>162</v>
      </c>
      <c r="P36" s="265"/>
    </row>
    <row r="37" spans="1:16">
      <c r="A37" s="37"/>
      <c r="B37" s="287"/>
      <c r="C37" s="32" t="s">
        <v>162</v>
      </c>
      <c r="D37" s="32" t="s">
        <v>162</v>
      </c>
      <c r="E37" s="32" t="s">
        <v>162</v>
      </c>
      <c r="F37" s="32" t="s">
        <v>162</v>
      </c>
      <c r="G37" s="32" t="s">
        <v>162</v>
      </c>
      <c r="H37" s="32" t="s">
        <v>162</v>
      </c>
      <c r="I37" s="32" t="s">
        <v>162</v>
      </c>
      <c r="J37" s="286" t="s">
        <v>162</v>
      </c>
      <c r="K37" s="32" t="s">
        <v>162</v>
      </c>
      <c r="L37" s="32" t="s">
        <v>162</v>
      </c>
      <c r="M37" s="276" t="s">
        <v>162</v>
      </c>
      <c r="N37" s="276" t="s">
        <v>162</v>
      </c>
      <c r="O37" s="276" t="s">
        <v>162</v>
      </c>
      <c r="P37" s="265"/>
    </row>
    <row r="38" spans="1:16">
      <c r="A38" s="37"/>
      <c r="B38" s="287"/>
      <c r="C38" s="32" t="s">
        <v>162</v>
      </c>
      <c r="D38" s="32" t="s">
        <v>162</v>
      </c>
      <c r="E38" s="32" t="s">
        <v>162</v>
      </c>
      <c r="F38" s="32" t="s">
        <v>162</v>
      </c>
      <c r="G38" s="32" t="s">
        <v>162</v>
      </c>
      <c r="H38" s="32" t="s">
        <v>162</v>
      </c>
      <c r="I38" s="32" t="s">
        <v>162</v>
      </c>
      <c r="J38" s="286" t="s">
        <v>162</v>
      </c>
      <c r="K38" s="32" t="s">
        <v>162</v>
      </c>
      <c r="L38" s="32" t="s">
        <v>162</v>
      </c>
      <c r="M38" s="276" t="s">
        <v>162</v>
      </c>
      <c r="N38" s="276" t="s">
        <v>162</v>
      </c>
      <c r="O38" s="276" t="s">
        <v>162</v>
      </c>
      <c r="P38" s="265"/>
    </row>
    <row r="39" spans="1:16" s="293" customFormat="1" ht="17.25">
      <c r="A39" s="288"/>
      <c r="B39" s="289" t="s">
        <v>111</v>
      </c>
      <c r="C39" s="290" t="s">
        <v>162</v>
      </c>
      <c r="D39" s="290" t="s">
        <v>162</v>
      </c>
      <c r="E39" s="290" t="s">
        <v>162</v>
      </c>
      <c r="F39" s="290" t="s">
        <v>162</v>
      </c>
      <c r="G39" s="290" t="s">
        <v>162</v>
      </c>
      <c r="H39" s="290" t="s">
        <v>162</v>
      </c>
      <c r="I39" s="290" t="s">
        <v>162</v>
      </c>
      <c r="J39" s="291" t="s">
        <v>162</v>
      </c>
      <c r="K39" s="290" t="s">
        <v>162</v>
      </c>
      <c r="L39" s="290" t="s">
        <v>162</v>
      </c>
      <c r="M39" s="292" t="s">
        <v>162</v>
      </c>
      <c r="N39" s="292" t="s">
        <v>162</v>
      </c>
      <c r="O39" s="292" t="s">
        <v>162</v>
      </c>
      <c r="P39" s="292">
        <f>P29+P31</f>
        <v>1105639.7759999998</v>
      </c>
    </row>
    <row r="40" spans="1:16" ht="16.5">
      <c r="D40" s="295"/>
      <c r="E40" s="295"/>
      <c r="F40" s="295"/>
      <c r="G40" s="295"/>
      <c r="H40" s="295"/>
      <c r="I40" s="296"/>
      <c r="J40" s="297"/>
      <c r="P40" s="355">
        <f>+P39/1000</f>
        <v>1105.6397759999998</v>
      </c>
    </row>
    <row r="41" spans="1:16" ht="33" customHeight="1">
      <c r="D41" s="356" t="s">
        <v>106</v>
      </c>
      <c r="E41" s="51"/>
      <c r="F41" s="377"/>
      <c r="G41" s="378"/>
      <c r="H41" s="356" t="s">
        <v>273</v>
      </c>
      <c r="I41" s="296"/>
      <c r="J41" s="297"/>
    </row>
    <row r="42" spans="1:16" ht="16.5">
      <c r="D42" s="295"/>
      <c r="E42" s="295"/>
      <c r="F42" s="295"/>
      <c r="G42" s="295"/>
      <c r="H42" s="295"/>
      <c r="I42" s="296"/>
      <c r="J42" s="297"/>
    </row>
    <row r="43" spans="1:16" ht="16.5">
      <c r="D43" s="295"/>
      <c r="E43" s="295"/>
      <c r="F43" s="295"/>
      <c r="G43" s="295"/>
      <c r="H43" s="295"/>
      <c r="I43" s="296"/>
      <c r="J43" s="297"/>
    </row>
    <row r="44" spans="1:16" ht="16.5">
      <c r="D44" s="295"/>
      <c r="E44" s="295"/>
      <c r="F44" s="295"/>
      <c r="G44" s="295"/>
      <c r="H44" s="295"/>
      <c r="I44" s="296"/>
      <c r="J44" s="297"/>
    </row>
    <row r="45" spans="1:16" ht="16.5" customHeight="1">
      <c r="C45" s="480" t="s">
        <v>354</v>
      </c>
      <c r="D45" s="480"/>
      <c r="E45" s="480"/>
      <c r="F45" s="295"/>
      <c r="G45" s="295"/>
      <c r="H45" s="295"/>
      <c r="I45" s="296"/>
      <c r="J45" s="297"/>
    </row>
    <row r="46" spans="1:16" ht="39" customHeight="1">
      <c r="C46" s="480"/>
      <c r="D46" s="480"/>
      <c r="E46" s="480"/>
      <c r="F46" s="295"/>
      <c r="G46" s="295"/>
      <c r="H46" s="295"/>
      <c r="I46" s="296" t="str">
        <f>+'energia jerucum'!F25</f>
        <v>Ն.Հարությունյան</v>
      </c>
      <c r="J46" s="297"/>
    </row>
    <row r="47" spans="1:16" ht="16.5">
      <c r="D47" s="295"/>
      <c r="E47" s="295"/>
      <c r="F47" s="295"/>
      <c r="G47" s="295"/>
      <c r="H47" s="295"/>
      <c r="I47" s="296"/>
      <c r="J47" s="297"/>
    </row>
  </sheetData>
  <mergeCells count="3">
    <mergeCell ref="B1:F1"/>
    <mergeCell ref="I7:J7"/>
    <mergeCell ref="C45:E46"/>
  </mergeCells>
  <pageMargins left="0.19685039370078741" right="0.19685039370078741" top="0.19685039370078741" bottom="0.23622047244094491" header="0.31496062992125984" footer="0.31496062992125984"/>
  <pageSetup paperSize="9" scale="8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0409canc</vt:lpstr>
      <vt:lpstr>krtutjunfinans</vt:lpstr>
      <vt:lpstr>krtatoshak</vt:lpstr>
      <vt:lpstr>yntaciktransfert</vt:lpstr>
      <vt:lpstr>hastiqacucak</vt:lpstr>
      <vt:lpstr>kencaxajin</vt:lpstr>
      <vt:lpstr>jur</vt:lpstr>
      <vt:lpstr>energia jerucum</vt:lpstr>
      <vt:lpstr>կապ</vt:lpstr>
      <vt:lpstr>grasenyakayin</vt:lpstr>
      <vt:lpstr>masnagitakan</vt:lpstr>
      <vt:lpstr>transp</vt:lpstr>
      <vt:lpstr>part. vcharner</vt:lpstr>
      <vt:lpstr>unkndirneri tiv</vt:lpstr>
      <vt:lpstr>տպագրական</vt:lpstr>
    </vt:vector>
  </TitlesOfParts>
  <Company>MFE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471</dc:creator>
  <cp:lastModifiedBy>Zara Margaryan</cp:lastModifiedBy>
  <cp:lastPrinted>2022-03-01T13:51:27Z</cp:lastPrinted>
  <dcterms:created xsi:type="dcterms:W3CDTF">2002-06-10T17:13:46Z</dcterms:created>
  <dcterms:modified xsi:type="dcterms:W3CDTF">2022-03-22T12:28:49Z</dcterms:modified>
</cp:coreProperties>
</file>